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10" windowHeight="10185" firstSheet="3"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<sst xmlns="http://schemas.openxmlformats.org/spreadsheetml/2006/main" count="3721" uniqueCount="2987">
  <si>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</si>
  <si>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</si>
  <si>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</si>
  <si>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</si>
  <si>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</si>
  <si>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</si>
  <si>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</si>
  <si>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</si>
  <si>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</si>
  <si>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</si>
  <si>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</si>
  <si>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</si>
  <si>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</si>
  <si>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</si>
  <si>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</si>
  <si>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</si>
  <si>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</si>
  <si>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</si>
  <si>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</si>
  <si>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</si>
  <si>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</si>
  <si>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</si>
  <si>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</si>
  <si>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</si>
  <si>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</si>
  <si>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</si>
  <si>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</si>
  <si>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</si>
  <si>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</si>
  <si>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</si>
  <si>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</si>
  <si>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</si>
  <si>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</si>
  <si>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</si>
  <si>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</si>
  <si>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</si>
  <si>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</si>
  <si>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</si>
  <si>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</si>
  <si>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</si>
  <si>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</si>
  <si>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</si>
  <si>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</si>
  <si>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</si>
  <si>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</si>
  <si>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</si>
  <si>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</si>
  <si>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</si>
  <si>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</si>
  <si>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</si>
  <si>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</si>
  <si>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</si>
  <si>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</si>
  <si>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</si>
  <si>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</si>
  <si>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</si>
  <si>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</si>
  <si>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</si>
  <si>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</si>
  <si>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</si>
  <si>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</si>
  <si>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</si>
  <si>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</si>
  <si>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</si>
  <si>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</si>
  <si>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</si>
  <si>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</si>
  <si>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</si>
  <si>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</si>
  <si>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</si>
  <si>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</si>
  <si>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</si>
  <si>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</si>
  <si>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</si>
  <si>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</si>
  <si>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</si>
  <si>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</si>
  <si>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</si>
  <si>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</si>
  <si>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</si>
  <si>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</si>
  <si>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</si>
  <si>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</si>
  <si>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</si>
  <si>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</si>
  <si>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</si>
  <si>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</si>
  <si>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</si>
  <si>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</si>
  <si>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</si>
  <si>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</si>
  <si>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</si>
  <si>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</si>
  <si>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</si>
  <si>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</si>
  <si>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</si>
  <si>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</si>
  <si>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</si>
  <si>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</si>
  <si>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</si>
  <si>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</si>
  <si>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</si>
  <si>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</si>
  <si>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</si>
  <si>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</si>
  <si>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</si>
  <si>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</si>
  <si>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</si>
  <si>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</si>
  <si>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</si>
  <si>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</si>
  <si>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</si>
  <si>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</si>
  <si>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</si>
  <si>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</si>
  <si>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</si>
  <si>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</si>
  <si>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</si>
  <si>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</si>
  <si>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</si>
  <si>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</si>
  <si>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</si>
  <si>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</si>
  <si>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</si>
  <si>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</si>
  <si>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</si>
  <si>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</si>
  <si>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</si>
  <si>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</si>
  <si>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</si>
  <si>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</si>
  <si>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</si>
  <si>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</si>
  <si>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</si>
  <si>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</si>
  <si>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</si>
  <si>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</si>
  <si>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</si>
  <si>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</si>
  <si>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</si>
  <si>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</si>
  <si>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</si>
  <si>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</si>
  <si>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</si>
  <si>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</si>
  <si>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</si>
  <si>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</si>
  <si>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</si>
  <si>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</si>
  <si>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</si>
  <si>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</si>
  <si>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</si>
  <si>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</si>
  <si>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</si>
  <si>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</si>
  <si>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</si>
  <si>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</si>
  <si>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</si>
  <si>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</si>
  <si>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</si>
  <si>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</si>
  <si>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</si>
  <si>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</si>
  <si>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</si>
  <si>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</si>
  <si>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</si>
  <si>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</si>
  <si>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</si>
  <si>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</si>
  <si>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</si>
  <si>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</si>
  <si>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</si>
  <si>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</si>
  <si>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</si>
  <si>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</si>
  <si>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</si>
  <si>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</si>
  <si>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</si>
  <si>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</si>
  <si>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</si>
  <si>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</si>
  <si>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</si>
  <si>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</si>
  <si>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</si>
  <si>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</si>
  <si>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</si>
  <si>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</si>
  <si>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</si>
  <si>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</si>
  <si>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</si>
  <si>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</si>
  <si>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</si>
  <si>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</si>
  <si>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</si>
  <si>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</si>
  <si>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</si>
  <si>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</si>
  <si>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</si>
  <si>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</si>
  <si>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</si>
  <si>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</si>
  <si>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</si>
  <si>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</si>
  <si>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</si>
  <si>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</si>
  <si>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</si>
  <si>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</si>
  <si>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</si>
  <si>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</si>
  <si>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</si>
  <si>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</si>
  <si>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</si>
  <si>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</si>
  <si>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</si>
  <si>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</si>
  <si>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</si>
  <si>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</si>
  <si>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</si>
  <si>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</si>
  <si>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</si>
  <si>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</si>
  <si>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</si>
  <si>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</si>
  <si>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</si>
  <si>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</si>
  <si>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</si>
  <si>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</si>
  <si>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</si>
  <si>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</si>
  <si>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</si>
  <si>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</si>
  <si>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</si>
  <si>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</si>
  <si>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</si>
  <si>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</si>
  <si>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</si>
  <si>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</si>
  <si>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</si>
  <si>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</si>
  <si>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</si>
  <si>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</si>
  <si>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</si>
  <si>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</si>
  <si>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</si>
  <si>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</si>
  <si>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</si>
  <si>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</si>
  <si>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</si>
  <si>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</si>
  <si>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</si>
  <si>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</si>
  <si>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</si>
  <si>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</si>
  <si>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</si>
  <si>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</si>
  <si>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</si>
  <si>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</si>
  <si>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</si>
  <si>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</si>
  <si>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</si>
  <si>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</si>
  <si>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</si>
  <si>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</si>
  <si>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</si>
  <si>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</si>
  <si>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</si>
  <si>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</si>
  <si>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</si>
  <si>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</si>
  <si>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</si>
  <si>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</si>
  <si>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</si>
  <si>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</si>
  <si>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</si>
  <si>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</si>
  <si>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</si>
  <si>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</si>
  <si>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</si>
  <si>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</si>
  <si>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</si>
  <si>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</si>
  <si>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</si>
  <si>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</si>
  <si>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</si>
  <si>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</si>
  <si>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</si>
  <si>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</si>
  <si>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</si>
  <si>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</si>
  <si>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</si>
  <si>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</si>
  <si>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</si>
  <si>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</si>
  <si>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</si>
  <si>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</si>
  <si>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</si>
  <si>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</si>
  <si>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</si>
  <si>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</si>
  <si>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</si>
  <si>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</si>
  <si>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</si>
  <si>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</si>
  <si>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</si>
  <si>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</si>
  <si>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</si>
  <si>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</si>
  <si>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</si>
  <si>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</si>
  <si>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</si>
  <si>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</si>
  <si>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</si>
  <si>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</si>
  <si>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</si>
  <si>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</si>
  <si>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</si>
  <si>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</si>
  <si>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</si>
  <si>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</si>
  <si>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</si>
  <si>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</si>
  <si>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</si>
  <si>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</si>
  <si>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</si>
  <si>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</si>
  <si>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</si>
  <si>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</si>
  <si>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</si>
  <si>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</si>
  <si>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</si>
  <si>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</si>
  <si>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</si>
  <si>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</si>
  <si>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</si>
  <si>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</si>
  <si>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</si>
  <si>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</si>
  <si>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</si>
  <si>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</si>
  <si>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</si>
  <si>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</si>
  <si>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</si>
  <si>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</si>
  <si>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</si>
  <si>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</si>
  <si>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</si>
  <si>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</si>
  <si>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</si>
  <si>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</si>
  <si>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</si>
  <si>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</si>
  <si>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</si>
  <si>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</si>
  <si>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</si>
  <si>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</si>
  <si>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</si>
  <si>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</si>
  <si>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</si>
  <si>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</si>
  <si>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</si>
  <si>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</si>
  <si>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</si>
  <si>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</si>
  <si>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</si>
  <si>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</si>
  <si>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</si>
  <si>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</si>
  <si>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</si>
  <si>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</si>
  <si>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</si>
  <si>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</si>
  <si>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</si>
  <si>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</si>
  <si>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</si>
  <si>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</si>
  <si>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</si>
  <si>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</si>
  <si>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</si>
  <si>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</si>
  <si>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</si>
  <si>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</si>
  <si>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</si>
  <si>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</si>
  <si>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</si>
  <si>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</si>
  <si>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</si>
  <si>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</si>
  <si>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</si>
  <si>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</si>
  <si>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</si>
  <si>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</si>
  <si>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</si>
  <si>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</si>
  <si>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</si>
  <si>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</si>
  <si>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</si>
  <si>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</si>
  <si>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</si>
  <si>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</si>
  <si>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</si>
  <si>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</si>
  <si>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</si>
  <si>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</si>
  <si>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</si>
  <si>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</si>
  <si>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</si>
  <si>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</si>
  <si>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</si>
  <si>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</si>
  <si>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</si>
  <si>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</si>
  <si>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</si>
  <si>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</si>
  <si>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</si>
  <si>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</si>
  <si>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</si>
  <si>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</si>
  <si>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</si>
  <si>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</si>
  <si>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</si>
  <si>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</si>
  <si>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</si>
  <si>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</si>
  <si>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</si>
  <si>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</si>
  <si>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</si>
  <si>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</si>
  <si>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</si>
  <si>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</si>
  <si>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</si>
  <si>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</si>
  <si>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</si>
  <si>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</si>
  <si>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</si>
  <si>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</si>
  <si>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</si>
  <si>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</si>
  <si>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</si>
  <si>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</si>
  <si>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</si>
  <si>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</si>
  <si>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</si>
  <si>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</si>
  <si>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</si>
  <si>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</si>
  <si>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</si>
  <si>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</si>
  <si>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</si>
  <si>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</si>
  <si>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</si>
  <si>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</si>
  <si>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</si>
  <si>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</si>
  <si>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</si>
  <si>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</si>
  <si>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</si>
  <si>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</si>
  <si>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</si>
  <si>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</si>
  <si>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</si>
  <si>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</si>
  <si>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</si>
  <si>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</si>
  <si>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</si>
  <si>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</si>
  <si>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</si>
  <si>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</si>
  <si>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</si>
  <si>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</si>
  <si>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</si>
  <si>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</si>
  <si>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</si>
  <si>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</si>
  <si>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</si>
  <si>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</si>
  <si>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</si>
  <si>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</si>
  <si>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</si>
  <si>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</si>
  <si>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</si>
  <si>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</si>
  <si>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</si>
  <si>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</si>
  <si>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</si>
  <si>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</si>
  <si>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</si>
  <si>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</si>
  <si>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</si>
  <si>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</si>
  <si>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</si>
  <si>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</si>
  <si>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</si>
  <si>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</si>
  <si>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</si>
  <si>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</si>
  <si>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</si>
  <si>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</si>
  <si>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</si>
  <si>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</si>
  <si>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</si>
  <si>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</si>
  <si>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</si>
  <si>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</si>
  <si>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</si>
  <si>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</si>
  <si>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</si>
  <si>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</si>
  <si>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</si>
  <si>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</si>
  <si>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</si>
  <si>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</si>
  <si>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</si>
  <si>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</si>
  <si>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</si>
  <si>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</si>
  <si>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</si>
  <si>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</si>
  <si>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</si>
  <si>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</si>
  <si>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</si>
  <si>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</si>
  <si>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</si>
  <si>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</si>
  <si>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</si>
  <si>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</si>
  <si>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</si>
  <si>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</si>
  <si>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</si>
  <si>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</si>
  <si>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</si>
  <si>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</si>
  <si>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</si>
  <si>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</si>
  <si>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</si>
  <si>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</si>
  <si>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</si>
  <si>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</si>
  <si>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</si>
  <si>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</si>
  <si>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</si>
  <si>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</si>
  <si>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</si>
  <si>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</si>
  <si>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</si>
  <si>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</si>
  <si>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</si>
  <si>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</si>
  <si>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</si>
  <si>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</si>
  <si>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</si>
  <si>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</si>
  <si>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</si>
  <si>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</si>
  <si>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</si>
  <si>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</si>
  <si>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</si>
  <si>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</si>
  <si>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</si>
  <si>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</si>
  <si>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</si>
  <si>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</si>
  <si>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</si>
  <si>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</si>
  <si>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</si>
  <si>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</si>
  <si>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</si>
  <si>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</si>
  <si>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</si>
  <si>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</si>
  <si>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</si>
  <si>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</si>
  <si>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</si>
  <si>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</si>
  <si>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</si>
  <si>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</si>
  <si>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</si>
  <si>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</si>
  <si>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</si>
  <si>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</si>
  <si>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</si>
  <si>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</si>
  <si>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</si>
  <si>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</si>
  <si>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</si>
  <si>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</si>
  <si>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</si>
  <si>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</si>
  <si>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</si>
  <si>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</si>
  <si>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</si>
  <si>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</si>
  <si>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</si>
  <si>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</si>
  <si>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</si>
  <si>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</si>
  <si>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</si>
  <si>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</si>
  <si>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</si>
  <si>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</si>
  <si>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</si>
  <si>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</si>
  <si>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</si>
  <si>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</si>
  <si>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</si>
  <si>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</si>
  <si>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</si>
  <si>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</si>
  <si>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</si>
  <si>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</si>
  <si>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</si>
  <si>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</si>
  <si>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</si>
  <si>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</si>
  <si>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</si>
  <si>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</si>
  <si>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</si>
  <si>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</si>
  <si>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</si>
  <si>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</si>
  <si>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</si>
  <si>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</si>
  <si>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</si>
  <si>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</si>
  <si>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</si>
  <si>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</si>
  <si>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</si>
  <si>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</si>
  <si>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</si>
  <si>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</si>
  <si>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</si>
  <si>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</si>
  <si>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</si>
  <si>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</si>
  <si>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</si>
  <si>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</si>
  <si>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</si>
  <si>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</si>
  <si>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</si>
  <si>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</si>
  <si>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</si>
  <si>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</si>
  <si>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</si>
  <si>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</si>
  <si>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</si>
  <si>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</si>
  <si>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</si>
  <si>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</si>
  <si>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</si>
  <si>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</si>
  <si>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</si>
  <si>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</si>
  <si>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</si>
  <si>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</si>
  <si>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</si>
  <si>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</si>
  <si>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</si>
  <si>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</si>
  <si>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</si>
  <si>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</si>
  <si>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</si>
  <si>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</si>
  <si>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</si>
  <si>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</si>
  <si>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</si>
  <si>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</si>
  <si>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</si>
  <si>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</si>
  <si>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</si>
  <si>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</si>
  <si>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</si>
  <si>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</si>
  <si>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</si>
  <si>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</si>
  <si>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</si>
  <si>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</si>
  <si>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</si>
  <si>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</si>
  <si>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</si>
  <si>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</si>
  <si>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</si>
  <si>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</si>
  <si>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</si>
  <si>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</si>
  <si>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</si>
  <si>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</si>
  <si>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</si>
  <si>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</si>
  <si>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</si>
  <si>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</si>
  <si>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</si>
  <si>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</si>
  <si>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</si>
  <si>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</si>
  <si>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</si>
  <si>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</si>
  <si>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</si>
  <si>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</si>
  <si>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</si>
  <si>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</si>
  <si>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</si>
  <si>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</si>
  <si>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</si>
  <si>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</si>
  <si>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</si>
  <si>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</si>
  <si>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</si>
  <si>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</si>
  <si>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</si>
  <si>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</si>
  <si>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</si>
  <si>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</si>
  <si>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</si>
  <si>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</si>
  <si>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</si>
  <si>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</si>
  <si>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</si>
  <si>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</si>
  <si>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</si>
  <si>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</si>
  <si>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</si>
  <si>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</si>
  <si>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</si>
  <si>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</si>
  <si>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</si>
  <si>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</si>
  <si>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</si>
  <si>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</si>
  <si>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</si>
  <si>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</si>
  <si>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</si>
  <si>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</si>
  <si>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</si>
  <si>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</si>
  <si>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</si>
  <si>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</si>
  <si>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</si>
  <si>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</si>
  <si>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</si>
  <si>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</si>
  <si>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</si>
  <si>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</si>
  <si>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</si>
  <si>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</si>
  <si>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</si>
  <si>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</si>
  <si>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</si>
  <si>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</si>
  <si>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</si>
  <si>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</si>
  <si>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</si>
  <si>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</si>
  <si>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</si>
  <si>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</si>
  <si>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</si>
  <si>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</si>
  <si>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</si>
  <si>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</si>
  <si>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</si>
  <si>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</si>
  <si>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</si>
  <si>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</si>
  <si>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</si>
  <si>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</si>
  <si>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</si>
  <si>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</si>
  <si>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</si>
  <si>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</si>
  <si>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</si>
  <si>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</si>
  <si>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</si>
  <si>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</si>
  <si>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</si>
  <si>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</si>
  <si>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</si>
  <si>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</si>
  <si>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</si>
  <si>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</si>
  <si>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</si>
  <si>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</si>
  <si>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</si>
  <si>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</si>
  <si>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</si>
  <si>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</si>
  <si>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</si>
  <si>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</si>
  <si>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</si>
  <si>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</si>
  <si>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</si>
  <si>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</si>
  <si>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</si>
  <si>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</si>
  <si>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</si>
  <si>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</si>
  <si>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</si>
  <si>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</si>
  <si>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</si>
  <si>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</si>
  <si>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</si>
  <si>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</si>
  <si>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</si>
  <si>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</si>
  <si>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</si>
  <si>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</si>
  <si>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</si>
  <si>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</si>
  <si>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</si>
  <si>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</si>
  <si>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</si>
  <si>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</si>
  <si>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</si>
  <si>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</si>
  <si>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</si>
  <si>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</si>
  <si>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</si>
  <si>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</si>
  <si>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</si>
  <si>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</si>
  <si>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</si>
  <si>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</si>
  <si>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</si>
  <si>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</si>
  <si>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</si>
  <si>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</si>
  <si>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</si>
  <si>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</si>
  <si>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</si>
  <si>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</si>
  <si>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</si>
  <si>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</si>
  <si>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</si>
  <si>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</si>
  <si>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</si>
  <si>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</si>
  <si>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</si>
  <si>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</si>
  <si>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</si>
  <si>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</si>
  <si>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</si>
  <si>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</si>
  <si>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</si>
  <si>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</si>
  <si>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</si>
  <si>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</si>
  <si>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</si>
  <si>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</si>
  <si>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</si>
  <si>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</si>
  <si>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</si>
  <si>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</si>
  <si>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</si>
  <si>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</si>
  <si>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</si>
  <si>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</si>
  <si>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</si>
  <si>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</si>
  <si>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</si>
  <si>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</si>
  <si>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</si>
  <si>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</si>
  <si>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</si>
  <si>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</si>
  <si>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</si>
  <si>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</si>
  <si>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</si>
  <si>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</si>
  <si>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</si>
  <si>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</si>
  <si>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</si>
  <si>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</si>
  <si>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</si>
  <si>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</si>
  <si>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</si>
  <si>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</si>
  <si>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</si>
  <si>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</si>
  <si>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</si>
  <si>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</si>
  <si>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</si>
  <si>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</si>
  <si>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</si>
  <si>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</si>
  <si>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</si>
  <si>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</si>
  <si>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</si>
  <si>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</si>
  <si>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</si>
  <si>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</si>
  <si>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</si>
  <si>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</si>
  <si>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</si>
  <si>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</si>
  <si>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</si>
  <si>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</si>
  <si>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</si>
  <si>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</si>
  <si>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</si>
  <si>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</si>
  <si>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</si>
  <si>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</si>
  <si>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</si>
  <si>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</si>
  <si>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</si>
  <si>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</si>
  <si>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</si>
  <si>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</si>
  <si>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</si>
  <si>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</si>
  <si>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</si>
  <si>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</si>
  <si>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</si>
  <si>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</si>
  <si>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</si>
  <si>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</si>
  <si>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</si>
  <si>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</si>
  <si>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</si>
  <si>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</si>
  <si>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</si>
  <si>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</si>
  <si>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</si>
  <si>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</si>
  <si>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</si>
  <si>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</si>
  <si>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</si>
  <si>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</si>
  <si>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</si>
  <si>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</si>
  <si>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</si>
  <si>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</si>
  <si>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</si>
  <si>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</si>
  <si>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</si>
  <si>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</si>
  <si>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</si>
  <si>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</si>
  <si>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</si>
  <si>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</si>
  <si>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</si>
  <si>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</si>
  <si>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</si>
  <si>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</si>
  <si>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</si>
  <si>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</si>
  <si>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</si>
  <si>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</si>
  <si>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</si>
  <si>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</si>
  <si>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</si>
  <si>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</si>
  <si>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</si>
  <si>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</si>
  <si>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</si>
  <si>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</si>
  <si>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</si>
  <si>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</si>
  <si>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</si>
  <si>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</si>
  <si>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</si>
  <si>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</si>
  <si>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</si>
  <si>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</si>
  <si>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</si>
  <si>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</si>
  <si>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</si>
  <si>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</si>
  <si>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</si>
  <si>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</si>
  <si>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</si>
  <si>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</si>
  <si>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</si>
  <si>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</si>
  <si>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</si>
  <si>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</si>
  <si>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</si>
  <si>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</si>
  <si>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</si>
  <si>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</si>
  <si>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</si>
  <si>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</si>
  <si>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</si>
  <si>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</si>
  <si>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</si>
  <si>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</si>
  <si>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</si>
  <si>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</si>
  <si>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</si>
  <si>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</si>
  <si>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</si>
  <si>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</si>
  <si>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</si>
  <si>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</si>
  <si>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</si>
  <si>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</si>
  <si>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</si>
  <si>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</si>
  <si>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</si>
  <si>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</si>
  <si>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</si>
  <si>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</si>
  <si>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</si>
  <si>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</si>
  <si>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</si>
  <si>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</si>
  <si>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</si>
  <si>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</si>
  <si>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</si>
  <si>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</si>
  <si>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</si>
  <si>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</si>
  <si>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</si>
  <si>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</si>
  <si>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</si>
  <si>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</si>
  <si>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</si>
  <si>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</si>
  <si>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</si>
  <si>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</si>
  <si>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</si>
  <si>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</si>
  <si>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</si>
  <si>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</si>
  <si>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</si>
  <si>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</si>
  <si>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</si>
  <si>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</si>
  <si>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</si>
  <si>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</si>
  <si>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</si>
  <si>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</si>
  <si>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</si>
  <si>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</si>
  <si>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</si>
  <si>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</si>
  <si>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</si>
  <si>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</si>
  <si>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</si>
  <si>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</si>
  <si>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</si>
  <si>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</si>
  <si>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</si>
  <si>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</si>
  <si>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</si>
  <si>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</si>
  <si>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</si>
  <si>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</si>
  <si>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</si>
  <si>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</si>
  <si>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</si>
  <si>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</si>
  <si>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</si>
  <si>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</si>
  <si>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</si>
  <si>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</si>
  <si>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</si>
  <si>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</si>
  <si>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</si>
  <si>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</si>
  <si>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</si>
  <si>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</si>
  <si>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</si>
  <si>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</si>
  <si>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</si>
  <si>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</si>
  <si>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</si>
  <si>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</si>
  <si>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</si>
  <si>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</si>
  <si>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</si>
  <si>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</si>
  <si>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</si>
  <si>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</si>
  <si>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</si>
  <si>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</si>
  <si>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</si>
  <si>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</si>
  <si>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</si>
  <si>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</si>
  <si>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</si>
  <si>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</si>
  <si>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</si>
  <si>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</si>
  <si>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</si>
  <si>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</si>
  <si>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</si>
  <si>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</si>
  <si>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</si>
  <si>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</si>
  <si>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</si>
  <si>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</si>
  <si>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</si>
  <si>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</si>
  <si>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</si>
  <si>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</si>
  <si>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</si>
  <si>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</si>
  <si>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</si>
  <si>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</si>
  <si>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</si>
  <si>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</si>
  <si>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</si>
  <si>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</si>
  <si>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</si>
  <si>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</si>
  <si>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</si>
  <si>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</si>
  <si>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</si>
  <si>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</si>
  <si>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</si>
  <si>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</si>
  <si>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</si>
  <si>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</si>
  <si>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</si>
  <si>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</si>
  <si>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</si>
  <si>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</si>
  <si>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</si>
  <si>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</si>
  <si>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</si>
  <si>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</si>
  <si>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</si>
  <si>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</si>
  <si>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</si>
  <si>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</si>
  <si>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</si>
  <si>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</si>
  <si>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</si>
  <si>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</si>
  <si>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</si>
  <si>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</si>
  <si>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</si>
  <si>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</si>
  <si>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</si>
  <si>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</si>
  <si>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</si>
  <si>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</si>
  <si>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</si>
  <si>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</si>
  <si>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</si>
  <si>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</si>
  <si>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</si>
  <si>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</si>
  <si>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</si>
  <si>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</si>
  <si>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</si>
  <si>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</si>
  <si>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</si>
  <si>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</si>
  <si>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</si>
  <si>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</si>
  <si>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</si>
  <si>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</si>
  <si>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</si>
  <si>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</si>
  <si>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</si>
  <si>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</si>
  <si>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</si>
  <si>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</si>
  <si>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</si>
  <si>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</si>
  <si>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</si>
  <si>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</si>
  <si>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</si>
  <si>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</si>
  <si>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</si>
  <si>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</si>
  <si>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</si>
  <si>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</si>
  <si>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</si>
  <si>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</si>
  <si>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</si>
  <si>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</si>
  <si>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</si>
  <si>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</si>
  <si>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</si>
  <si>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</si>
  <si>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</si>
  <si>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</si>
  <si>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</si>
  <si>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</si>
  <si>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</si>
  <si>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</si>
  <si>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</si>
  <si>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</si>
  <si>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</si>
  <si>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</si>
  <si>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</si>
  <si>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</si>
  <si>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</si>
  <si>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</si>
  <si>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</si>
  <si>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</si>
  <si>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</si>
  <si>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</si>
  <si>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</si>
  <si>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</si>
  <si>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</si>
  <si>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</si>
  <si>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</si>
  <si>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</si>
  <si>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</si>
  <si>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</si>
  <si>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</si>
  <si>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</si>
  <si>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</si>
  <si>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</si>
  <si>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</si>
  <si>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</si>
  <si>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</si>
  <si>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</si>
  <si>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</si>
  <si>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</si>
  <si>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</si>
  <si>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</si>
  <si>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</si>
  <si>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</si>
  <si>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</si>
  <si>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</si>
  <si>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</si>
  <si>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</si>
  <si>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</si>
  <si>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</si>
  <si>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</si>
  <si>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</si>
  <si>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</si>
  <si>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</si>
  <si>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</si>
  <si>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</si>
  <si>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</si>
  <si>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</si>
  <si>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</si>
  <si>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</si>
  <si>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</si>
  <si>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</si>
  <si>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</si>
  <si>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</si>
  <si>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</si>
  <si>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</si>
  <si>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</si>
  <si>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</si>
  <si>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</si>
  <si>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</si>
  <si>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</si>
  <si>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</si>
  <si>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</si>
  <si>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</si>
  <si>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</si>
  <si>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</si>
  <si>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</si>
  <si>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</si>
  <si>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</si>
  <si>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</si>
  <si>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</si>
  <si>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</si>
  <si>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</si>
  <si>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</si>
  <si>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</si>
  <si>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</si>
  <si>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</si>
  <si>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</si>
  <si>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</si>
  <si>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</si>
  <si>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</si>
  <si>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</si>
  <si>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</si>
  <si>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</si>
  <si>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</si>
  <si>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</si>
  <si>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</si>
  <si>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</si>
  <si>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</si>
  <si>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</si>
  <si>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</si>
  <si>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</si>
  <si>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</si>
  <si>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</si>
  <si>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</si>
  <si>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</si>
  <si>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</si>
  <si>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</si>
  <si>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</si>
  <si>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</si>
  <si>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</si>
  <si>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</si>
  <si>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</si>
  <si>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</si>
  <si>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</si>
  <si>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</si>
  <si>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</si>
  <si>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</si>
  <si>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</si>
  <si>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</si>
  <si>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</si>
  <si>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</si>
  <si>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</si>
  <si>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</si>
  <si>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</si>
  <si>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</si>
  <si>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</si>
  <si>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</si>
  <si>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</si>
  <si>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</si>
  <si>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</si>
  <si>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</si>
  <si>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</si>
  <si>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</si>
  <si>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</si>
  <si>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</si>
  <si>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</si>
  <si>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</si>
  <si>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</si>
  <si>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</si>
  <si>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</si>
  <si>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</si>
  <si>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</si>
  <si>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</si>
  <si>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</si>
  <si>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</si>
  <si>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</si>
  <si>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</si>
  <si>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</si>
  <si>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</si>
  <si>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</si>
  <si>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</si>
  <si>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</si>
  <si>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</si>
  <si>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</si>
  <si>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</si>
  <si>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</si>
  <si>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</si>
  <si>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</si>
  <si>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</si>
  <si>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</si>
  <si>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</si>
  <si>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</si>
  <si>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</si>
  <si>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</si>
  <si>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</si>
  <si>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</si>
  <si>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</si>
  <si>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</si>
  <si>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</si>
  <si>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</si>
  <si>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</si>
  <si>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</si>
  <si>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</si>
  <si>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</si>
  <si>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</si>
  <si>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</si>
  <si>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</si>
  <si>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</si>
  <si>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</si>
  <si>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</si>
  <si>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</si>
  <si>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</si>
  <si>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</si>
  <si>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</si>
  <si>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</si>
  <si>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</si>
  <si>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</si>
  <si>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</si>
  <si>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</si>
  <si>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</si>
  <si>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</si>
  <si>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</si>
  <si>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</si>
  <si>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</si>
  <si>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</si>
  <si>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</si>
  <si>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</si>
  <si>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</si>
  <si>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</si>
  <si>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</si>
  <si>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</si>
  <si>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</si>
  <si>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</si>
  <si>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</si>
  <si>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</si>
  <si>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</si>
  <si>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</si>
  <si>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</si>
  <si>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</si>
  <si>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</si>
  <si>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</si>
  <si>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</si>
  <si>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</si>
  <si>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</si>
  <si>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</si>
  <si>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</si>
  <si>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</si>
  <si>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</si>
  <si>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</si>
  <si>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</si>
  <si>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</si>
  <si>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</si>
  <si>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</si>
  <si>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</si>
  <si>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</si>
  <si>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</si>
  <si>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</si>
  <si>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</si>
  <si>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</si>
  <si>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</si>
  <si>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</si>
  <si>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</si>
  <si>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</si>
  <si>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</si>
  <si>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</si>
  <si>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</si>
  <si>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</si>
  <si>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</si>
  <si>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</si>
  <si>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</si>
  <si>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</si>
  <si>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</si>
  <si>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</si>
  <si>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</si>
  <si>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</si>
  <si>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</si>
  <si>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</si>
  <si>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</si>
  <si>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</si>
  <si>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</si>
  <si>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</si>
  <si>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</si>
  <si>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</si>
  <si>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</si>
  <si>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</si>
  <si>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</si>
  <si>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</si>
  <si>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</si>
  <si>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</si>
  <si>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</si>
  <si>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</si>
  <si>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</si>
  <si>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</si>
  <si>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</si>
  <si>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</si>
  <si>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</si>
  <si>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</si>
  <si>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</si>
  <si>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</si>
  <si>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</si>
  <si>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</si>
  <si>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</si>
  <si>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</si>
  <si>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</si>
  <si>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</si>
  <si>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</si>
  <si>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</si>
  <si>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</si>
  <si>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</si>
  <si>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</si>
  <si>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</si>
  <si>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</si>
  <si>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</si>
  <si>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</si>
  <si>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</si>
  <si>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</si>
  <si>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</si>
  <si>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</si>
  <si>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</si>
  <si>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</si>
  <si>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</si>
  <si>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</si>
  <si>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</si>
  <si>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</si>
  <si>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</si>
  <si>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</si>
  <si>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</si>
  <si>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</si>
  <si>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</si>
  <si>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</si>
  <si>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</si>
  <si>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</si>
  <si>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</si>
  <si>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</si>
  <si>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</si>
  <si>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</si>
  <si>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</si>
  <si>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</si>
  <si>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</si>
  <si>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</si>
  <si>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</si>
  <si>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</si>
  <si>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</si>
  <si>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</si>
  <si>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</si>
  <si>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</si>
  <si>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</si>
  <si>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</si>
  <si>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</si>
  <si>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</si>
  <si>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</si>
  <si>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</si>
  <si>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</si>
  <si>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</si>
  <si>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</si>
  <si>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</si>
  <si>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</si>
  <si>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</si>
  <si>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</si>
  <si>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</si>
  <si>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</si>
  <si>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</si>
  <si>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</si>
  <si>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</si>
  <si>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</si>
  <si>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</si>
  <si>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</si>
  <si>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</si>
  <si>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</si>
  <si>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</si>
  <si>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</si>
  <si>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</si>
  <si>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</si>
  <si>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</si>
  <si>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</si>
  <si>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</si>
  <si>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</si>
  <si>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</si>
  <si>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</si>
  <si>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</si>
  <si>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</si>
  <si>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</si>
  <si>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</si>
  <si>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</si>
  <si>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</si>
  <si>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</si>
  <si>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</si>
  <si>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</si>
  <si>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</si>
  <si>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</si>
  <si>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</si>
  <si>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</si>
  <si>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</si>
  <si>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</si>
  <si>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</si>
  <si>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</si>
  <si>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</si>
  <si>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</si>
  <si>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</si>
  <si>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</si>
  <si>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</si>
  <si>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</si>
  <si>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</si>
  <si>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</si>
  <si>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</si>
  <si>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</si>
  <si>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</si>
  <si>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</si>
  <si>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</si>
  <si>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</si>
  <si>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</si>
  <si>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</si>
  <si>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</si>
  <si>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</si>
  <si>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</si>
  <si>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</si>
  <si>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</si>
  <si>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</si>
  <si>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</si>
  <si>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</si>
  <si>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</si>
  <si>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</si>
  <si>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</si>
  <si>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</si>
  <si>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</si>
  <si>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</si>
  <si>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</si>
  <si>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</si>
  <si>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</si>
  <si>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</si>
  <si>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</si>
  <si>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</si>
  <si>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</si>
  <si>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</si>
  <si>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</si>
  <si>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</si>
  <si>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</si>
  <si>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</si>
  <si>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</si>
  <si>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</si>
  <si>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</si>
  <si>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</si>
  <si>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</si>
  <si>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</si>
  <si>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</si>
  <si>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</si>
  <si>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</si>
  <si>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</si>
  <si>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</si>
  <si>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</si>
  <si>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</si>
  <si>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</si>
  <si>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</si>
  <si>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</si>
  <si>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</si>
  <si>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</si>
  <si>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</si>
  <si>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</si>
  <si>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</si>
  <si>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</si>
  <si>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</si>
  <si>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</si>
  <si>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</si>
  <si>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</si>
  <si>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</si>
  <si>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</si>
  <si>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</si>
  <si>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</si>
  <si>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</si>
  <si>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</si>
  <si>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</si>
  <si>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</si>
  <si>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</si>
  <si>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</si>
  <si>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</si>
  <si>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</si>
  <si>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</si>
  <si>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</si>
  <si>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</si>
  <si>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</si>
  <si>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</si>
  <si>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</si>
  <si>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</si>
  <si>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</si>
  <si>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</si>
  <si>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</si>
  <si>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</si>
  <si>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</si>
  <si>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</si>
  <si>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</si>
  <si>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</si>
  <si>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</si>
  <si>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</si>
  <si>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</si>
  <si>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</si>
  <si>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</si>
  <si>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</si>
  <si>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</si>
  <si>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</si>
  <si>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</si>
  <si>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</si>
  <si>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</si>
  <si>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</si>
  <si>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</si>
  <si>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</si>
  <si>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</si>
  <si>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</si>
  <si>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</si>
  <si>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</si>
  <si>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</si>
  <si>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</si>
  <si>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</si>
  <si>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</si>
  <si>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</si>
  <si>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</si>
  <si>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</si>
  <si>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</si>
  <si>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</si>
  <si>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</si>
  <si>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</si>
  <si>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</si>
  <si>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</si>
  <si>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</si>
  <si>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</si>
  <si>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</si>
  <si>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</si>
  <si>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</si>
  <si>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</si>
  <si>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</si>
  <si>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</si>
  <si>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</si>
  <si>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</si>
  <si>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</si>
  <si>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</si>
  <si>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</si>
  <si>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</si>
  <si>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</si>
  <si>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</si>
  <si>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</si>
  <si>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</si>
  <si>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</si>
  <si>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</si>
  <si>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</si>
  <si>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</si>
  <si>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</si>
  <si>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</si>
  <si>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</si>
  <si>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</si>
  <si>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</si>
  <si>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</si>
  <si>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</si>
  <si>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</si>
  <si>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</si>
  <si>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</si>
  <si>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</si>
  <si>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</si>
  <si>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</si>
  <si>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</si>
  <si>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</si>
  <si>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</si>
  <si>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</si>
  <si>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</si>
  <si>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</si>
  <si>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</si>
  <si>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</si>
  <si>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</si>
  <si>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</si>
  <si>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</si>
  <si>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</si>
  <si>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</si>
  <si>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</si>
  <si>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</si>
  <si>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</si>
  <si>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</si>
  <si>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</si>
  <si>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</si>
  <si>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</si>
  <si>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</si>
  <si>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</si>
  <si>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</si>
  <si>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</si>
  <si>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</si>
  <si>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</si>
  <si>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</si>
  <si>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</si>
  <si>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</si>
  <si>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</si>
  <si>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</si>
  <si>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</si>
  <si>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</si>
  <si>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</si>
  <si>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</si>
  <si>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</si>
  <si>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</si>
  <si>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</si>
  <si>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</si>
  <si>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</si>
  <si>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</si>
  <si>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</si>
  <si>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</si>
  <si>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</si>
  <si>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</si>
  <si>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</si>
  <si>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</si>
  <si>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</si>
  <si>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</si>
  <si>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</si>
  <si>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</si>
  <si>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</si>
  <si>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</si>
  <si>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</si>
  <si>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</si>
  <si>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</si>
  <si>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</si>
  <si>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</si>
  <si>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</si>
  <si>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</si>
  <si>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</si>
  <si>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</si>
  <si>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</si>
  <si>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</si>
  <si>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</si>
  <si>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</si>
  <si>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</si>
  <si>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</si>
  <si>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</si>
  <si>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</si>
  <si>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</si>
  <si>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</si>
  <si>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</si>
  <si>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</si>
  <si>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</si>
  <si>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</si>
  <si>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</si>
  <si>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</si>
  <si>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</si>
  <si>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</si>
  <si>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</si>
  <si>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</si>
  <si>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</si>
  <si>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</si>
  <si>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</si>
  <si>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</si>
  <si>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</si>
  <si>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</si>
  <si>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</si>
  <si>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</si>
  <si>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</si>
  <si>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</si>
  <si>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</si>
  <si>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</si>
  <si>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</si>
  <si>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</si>
  <si>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</si>
  <si>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</si>
  <si>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</si>
  <si>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</si>
  <si>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</si>
  <si>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</si>
  <si>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</si>
  <si>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</si>
  <si>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</si>
  <si>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</si>
  <si>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</si>
  <si>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</si>
  <si>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</si>
  <si>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</si>
  <si>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</si>
  <si>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</si>
  <si>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</si>
  <si>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</si>
  <si>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</si>
  <si>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</si>
  <si>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</si>
  <si>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</si>
  <si>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</si>
  <si>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</si>
  <si>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</si>
  <si>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</si>
  <si>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</si>
  <si>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</si>
  <si>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</si>
  <si>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</si>
  <si>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</si>
  <si>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</si>
  <si>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</si>
  <si>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</si>
  <si>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</si>
  <si>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</si>
  <si>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</si>
  <si>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</si>
  <si>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</si>
  <si>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</si>
  <si>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</si>
  <si>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</si>
  <si>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</si>
  <si>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</si>
  <si>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</si>
  <si>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</si>
  <si>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</si>
  <si>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</si>
  <si>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</si>
  <si>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</si>
  <si>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</si>
  <si>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</si>
  <si>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</si>
  <si>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</si>
  <si>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</si>
  <si>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</si>
  <si>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</si>
  <si>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</si>
  <si>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</si>
  <si>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</si>
  <si>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</si>
  <si>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</si>
  <si>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</si>
  <si>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</si>
  <si>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</si>
  <si>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</si>
  <si>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</si>
  <si>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</si>
  <si>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</si>
  <si>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</si>
  <si>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</si>
  <si>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</si>
  <si>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</si>
  <si>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</si>
  <si>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</si>
  <si>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</si>
  <si>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</si>
  <si>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</si>
  <si>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</si>
  <si>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</si>
  <si>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</si>
  <si>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</si>
  <si>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</si>
  <si>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</si>
  <si>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</si>
  <si>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</si>
  <si>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</si>
  <si>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</si>
  <si>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</si>
  <si>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</si>
  <si>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</si>
  <si>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</si>
  <si>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</si>
  <si>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</si>
  <si>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</si>
  <si>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</si>
  <si>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</si>
  <si>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</si>
  <si>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</si>
  <si>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</si>
  <si>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</si>
  <si>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</si>
  <si>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</si>
  <si>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</si>
  <si>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</si>
  <si>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</si>
  <si>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</si>
  <si>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</si>
  <si>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</si>
  <si>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</si>
  <si>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</si>
  <si>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</si>
  <si>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</si>
  <si>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</si>
  <si>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</si>
  <si>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</si>
  <si>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</si>
  <si>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</si>
  <si>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</si>
  <si>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</si>
  <si>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</si>
  <si>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</si>
  <si>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</si>
  <si>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</si>
  <si>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</si>
  <si>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</si>
  <si>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</si>
  <si>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</si>
  <si>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</si>
  <si>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</si>
  <si>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</si>
  <si>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</si>
  <si>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</si>
  <si>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</si>
  <si>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</si>
  <si>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</si>
  <si>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</si>
  <si>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</si>
  <si>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</si>
  <si>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</si>
  <si>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</si>
  <si>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</si>
  <si>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</si>
  <si>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</si>
  <si>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</si>
  <si>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</si>
  <si>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</si>
  <si>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</si>
  <si>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</si>
  <si>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</si>
  <si>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</si>
  <si>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</si>
  <si>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</si>
  <si>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</si>
  <si>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</si>
  <si>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</si>
  <si>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</si>
  <si>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</si>
  <si>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</si>
  <si>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</si>
  <si>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</si>
  <si>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</si>
  <si>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</si>
  <si>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</si>
  <si>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</si>
  <si>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</si>
  <si>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</si>
  <si>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</si>
  <si>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</si>
  <si>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</si>
  <si>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</si>
  <si>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</si>
  <si>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</si>
  <si>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</si>
  <si>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</si>
  <si>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</si>
  <si>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</si>
  <si>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</si>
  <si>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</si>
  <si>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</si>
  <si>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</si>
  <si>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</si>
  <si>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</si>
  <si>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</si>
  <si>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</si>
  <si>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</si>
  <si>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</si>
  <si>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</si>
  <si>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</si>
  <si>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</si>
  <si>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</si>
  <si>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</si>
  <si>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</si>
  <si>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</si>
  <si>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</si>
  <si>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</si>
  <si>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</si>
  <si>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</si>
  <si>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</si>
  <si>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</si>
  <si>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</si>
  <si>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</si>
  <si>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</si>
  <si>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</si>
  <si>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</si>
  <si>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</si>
  <si>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</si>
  <si>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</si>
  <si>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</si>
  <si>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</si>
  <si>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</si>
  <si>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</si>
  <si>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</si>
  <si>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</si>
  <si>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</si>
  <si>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</si>
  <si>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</si>
  <si>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</si>
  <si>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</si>
  <si>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</si>
  <si>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</si>
  <si>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</si>
  <si>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</si>
  <si>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</si>
  <si>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</si>
  <si>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</si>
  <si>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</si>
  <si>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</si>
  <si>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</si>
  <si>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</si>
  <si>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</si>
  <si>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</si>
  <si>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</si>
  <si>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</si>
  <si>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</si>
  <si>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</si>
  <si>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</si>
  <si>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</si>
  <si>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</si>
  <si>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</si>
  <si>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</si>
  <si>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</si>
  <si>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</si>
  <si>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</si>
  <si>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</si>
  <si>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</si>
  <si>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</si>
  <si>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</si>
  <si>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</si>
  <si>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</si>
  <si>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</si>
  <si>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</si>
  <si>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</si>
  <si>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</si>
  <si>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</si>
  <si>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</si>
  <si>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</si>
  <si>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</si>
  <si>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</si>
  <si>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</si>
  <si>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</si>
  <si>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</si>
  <si>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</si>
  <si>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</si>
  <si>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</si>
  <si>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</si>
  <si>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</si>
  <si>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</si>
  <si>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</si>
  <si>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</si>
  <si>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</si>
  <si>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</si>
  <si>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</si>
  <si>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</si>
  <si>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</si>
  <si>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</si>
  <si>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</si>
  <si>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</si>
  <si>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</si>
  <si>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</si>
  <si>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</si>
  <si>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</si>
  <si>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</si>
  <si>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</si>
  <si>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</si>
  <si>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</si>
  <si>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</si>
  <si>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</si>
  <si>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</si>
  <si>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</si>
  <si>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</si>
  <si>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</si>
  <si>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</si>
  <si>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</si>
  <si>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</si>
  <si>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</si>
  <si>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</si>
  <si>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</si>
  <si>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</si>
  <si>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</si>
  <si>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</si>
  <si>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</si>
  <si>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</si>
  <si>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</si>
  <si>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</si>
  <si>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</si>
  <si>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</si>
  <si>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</si>
  <si>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</si>
  <si>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</si>
  <si>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</si>
  <si>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</si>
  <si>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</si>
  <si>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</si>
  <si>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</si>
  <si>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</si>
  <si>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</si>
  <si>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</si>
  <si>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</si>
  <si>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</si>
  <si>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</si>
  <si>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</si>
  <si>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</si>
  <si>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</si>
  <si>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</si>
  <si>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</si>
  <si>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</si>
  <si>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</si>
  <si>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</si>
  <si>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</si>
  <si>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</si>
  <si>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</si>
  <si>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</si>
  <si>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</si>
  <si>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</si>
  <si>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</si>
  <si>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</si>
  <si>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</si>
  <si>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</si>
  <si>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</si>
  <si>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</si>
  <si>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</si>
  <si>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</si>
  <si>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</si>
  <si>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</si>
  <si>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</si>
  <si>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</si>
  <si>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</si>
  <si>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</si>
  <si>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</si>
  <si>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</si>
  <si>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</si>
  <si>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</si>
  <si>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</si>
  <si>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</si>
  <si>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</si>
  <si>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</si>
  <si>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</si>
  <si>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</si>
  <si>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</si>
  <si>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</si>
  <si>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</si>
  <si>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</si>
  <si>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</si>
  <si>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</si>
  <si>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</si>
  <si>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</si>
  <si>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</si>
  <si>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</si>
  <si>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</si>
  <si>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</si>
  <si>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</si>
  <si>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</si>
  <si>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</si>
  <si>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</si>
  <si>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</si>
  <si>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</si>
  <si>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</si>
  <si>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</si>
  <si>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</si>
  <si>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</si>
  <si>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</si>
  <si>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</si>
  <si>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</si>
  <si>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</si>
  <si>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</si>
  <si>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</si>
  <si>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</si>
  <si>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</si>
  <si>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</si>
  <si>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</si>
  <si>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</si>
  <si>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</si>
  <si>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</si>
  <si>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</si>
  <si>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</si>
  <si>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</si>
  <si>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</si>
  <si>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</si>
  <si>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</si>
  <si>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</si>
  <si>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</si>
  <si>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</si>
  <si>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</si>
  <si>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</si>
  <si>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</si>
  <si>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</si>
  <si>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</si>
  <si>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</si>
  <si>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</si>
  <si>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</si>
  <si>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</si>
  <si>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</si>
  <si>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</si>
  <si>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</si>
  <si>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</si>
  <si>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</si>
  <si>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</si>
  <si>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</si>
  <si>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</si>
  <si>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</si>
  <si>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</si>
  <si>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</si>
  <si>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</si>
  <si>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</si>
  <si>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</si>
  <si>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</si>
  <si>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</si>
  <si>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</si>
  <si>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</si>
  <si>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</si>
  <si>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</si>
  <si>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</si>
  <si>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</si>
  <si>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</si>
  <si>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</si>
  <si>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</si>
  <si>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</si>
  <si>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</si>
  <si>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</si>
  <si>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</si>
  <si>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</si>
  <si>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</si>
  <si>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</si>
  <si>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</si>
  <si>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</si>
  <si>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</si>
  <si>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</si>
  <si>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</si>
  <si>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</si>
  <si>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</si>
  <si>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</si>
  <si>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</si>
  <si>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</si>
  <si>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</si>
  <si>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</si>
  <si>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</si>
  <si>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</si>
  <si>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</si>
  <si>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</si>
  <si>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</si>
  <si>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</si>
  <si>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</si>
  <si>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</si>
  <si>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</si>
  <si>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</si>
  <si>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</si>
  <si>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</si>
  <si>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</si>
  <si>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</si>
  <si>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</si>
  <si>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</si>
  <si>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</si>
  <si>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</si>
  <si>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</si>
  <si>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</si>
  <si>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</si>
  <si>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</si>
  <si>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</si>
  <si>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</si>
  <si>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</si>
  <si>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</si>
  <si>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</si>
  <si>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</si>
  <si>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</si>
  <si>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</si>
  <si>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</si>
  <si>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</si>
  <si>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</si>
  <si>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</si>
  <si>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</si>
  <si>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</si>
  <si>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</si>
  <si>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</si>
  <si>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</si>
  <si>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</si>
  <si>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</si>
  <si>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</si>
  <si>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</si>
  <si>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</si>
  <si>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</si>
  <si>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</si>
  <si>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</si>
  <si>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</si>
  <si>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</si>
  <si>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</si>
  <si>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</si>
  <si>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</si>
  <si>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</si>
  <si>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</si>
  <si>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</si>
  <si>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</si>
  <si>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</si>
  <si>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</si>
  <si>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</si>
  <si>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</si>
  <si>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</si>
  <si>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</si>
  <si>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</si>
  <si>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</si>
  <si>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</si>
  <si>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</si>
  <si>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</si>
  <si>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</si>
  <si>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</si>
  <si>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</si>
  <si>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</si>
  <si>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</si>
  <si>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</si>
  <si>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</si>
  <si>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</si>
  <si>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</si>
  <si>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</si>
  <si>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</si>
  <si>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</si>
  <si>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</si>
  <si>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</si>
  <si>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</si>
  <si>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</si>
  <si>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</si>
  <si>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</si>
  <si>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</si>
  <si>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</si>
  <si>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</si>
  <si>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</si>
  <si>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</si>
  <si>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</si>
  <si>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</si>
  <si>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</si>
  <si>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</si>
  <si>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</si>
  <si>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</si>
  <si>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</si>
  <si>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</si>
  <si>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</si>
  <si>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</si>
  <si>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</si>
  <si>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</si>
  <si>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</si>
  <si>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</si>
  <si>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</si>
  <si>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</si>
  <si>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</si>
  <si>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</si>
  <si>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</si>
  <si>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</si>
  <si>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</si>
  <si>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</si>
  <si>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</si>
  <si>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</si>
  <si>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</si>
  <si>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</si>
  <si>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</si>
  <si>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</si>
  <si>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</si>
  <si>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</si>
  <si>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</si>
  <si>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</si>
  <si>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</si>
  <si>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</si>
  <si>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</si>
  <si>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</si>
  <si>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</si>
  <si>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</si>
  <si>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</si>
  <si>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</si>
  <si>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</si>
  <si>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</si>
  <si>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</si>
  <si>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</si>
  <si>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</si>
  <si>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</si>
  <si>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</si>
  <si>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</si>
  <si>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</si>
  <si>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</si>
  <si>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</si>
  <si>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</si>
  <si>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</si>
  <si>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</si>
  <si>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</si>
  <si>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</si>
  <si>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</si>
  <si>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</si>
  <si>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</si>
  <si>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</si>
  <si>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</si>
  <si>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</si>
  <si>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</si>
  <si>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</si>
  <si>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</si>
  <si>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</si>
  <si>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</si>
  <si>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</si>
  <si>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</si>
  <si>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</si>
  <si>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</si>
  <si>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</si>
  <si>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</si>
  <si>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</si>
  <si>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</si>
  <si>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</si>
  <si>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</si>
  <si>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</si>
  <si>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</si>
  <si>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</si>
  <si>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</si>
  <si>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</si>
  <si>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</si>
  <si>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</si>
  <si>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</si>
  <si>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</si>
  <si>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</si>
  <si>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</si>
  <si>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</si>
  <si>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</si>
  <si>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</si>
  <si>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</si>
  <si>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</si>
  <si>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</si>
  <si>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</si>
  <si>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</si>
  <si>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</si>
  <si>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</si>
  <si>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</si>
  <si>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</si>
  <si>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</si>
  <si>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</si>
  <si>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</si>
  <si>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</si>
  <si>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</si>
  <si>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</si>
  <si>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</si>
  <si>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</si>
  <si>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</si>
  <si>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</si>
  <si>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</si>
  <si>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</si>
  <si>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</si>
  <si>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</si>
  <si>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</si>
  <si>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</si>
  <si>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</si>
  <si>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</si>
  <si>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</si>
  <si>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</si>
  <si>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</si>
  <si>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</si>
  <si>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</si>
  <si>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</si>
  <si>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</si>
  <si>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</si>
  <si>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</si>
  <si>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</si>
  <si>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</si>
  <si>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</si>
  <si>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</si>
  <si>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</si>
  <si>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</si>
  <si>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</si>
  <si>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</si>
  <si>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</si>
  <si>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</si>
  <si>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</si>
  <si>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</si>
  <si>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</si>
  <si>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</si>
  <si>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</si>
  <si>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</si>
  <si>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</si>
  <si>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</si>
  <si>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</si>
  <si>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</si>
  <si>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</si>
  <si>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</si>
  <si>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</si>
  <si>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</si>
  <si>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</si>
  <si>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</si>
  <si>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</si>
  <si>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</si>
  <si>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</si>
  <si>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</si>
  <si>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</si>
  <si>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</si>
  <si>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</si>
  <si>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</si>
  <si>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</si>
  <si>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</si>
  <si>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</si>
  <si>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</si>
  <si>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</si>
  <si>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</si>
  <si>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</si>
  <si>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</si>
  <si>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</si>
  <si>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</si>
  <si>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</si>
  <si>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</si>
  <si>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</si>
  <si>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</si>
  <si>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</si>
  <si>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</si>
  <si>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</si>
  <si>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</si>
  <si>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</si>
  <si>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</si>
  <si>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</si>
  <si>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</si>
  <si>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</si>
  <si>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</si>
  <si>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</si>
  <si>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</si>
  <si>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</si>
  <si>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</si>
  <si>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</si>
  <si>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</si>
  <si>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</si>
  <si>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</si>
  <si>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</si>
  <si>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</si>
  <si>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</si>
  <si>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</si>
  <si>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</si>
  <si>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</si>
  <si>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</si>
  <si>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</si>
  <si>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</si>
  <si>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</si>
  <si>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</si>
  <si>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</si>
  <si>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</si>
  <si>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</si>
  <si>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</si>
  <si>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</si>
  <si>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</si>
  <si>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</si>
  <si>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</si>
  <si>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</si>
  <si>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</si>
  <si>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</si>
  <si>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</si>
  <si>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</si>
  <si>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</si>
  <si>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</si>
  <si>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</si>
  <si>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</si>
  <si>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</si>
  <si>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</si>
  <si>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</si>
  <si>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</si>
  <si>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</si>
  <si>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</si>
  <si>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</si>
  <si>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</si>
  <si>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</si>
  <si>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</si>
  <si>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</si>
  <si>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</si>
  <si>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</si>
  <si>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</si>
  <si>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</si>
  <si>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</si>
  <si>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</si>
  <si>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</si>
  <si>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</si>
  <si>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</si>
  <si>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</si>
  <si>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</si>
  <si>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</si>
  <si>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</si>
  <si>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</si>
  <si>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</si>
  <si>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</si>
  <si>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</si>
  <si>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</si>
  <si>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</si>
  <si>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</si>
  <si>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</si>
  <si>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</si>
  <si>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</si>
  <si>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</si>
  <si>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</si>
  <si>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</si>
  <si>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</si>
  <si>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</si>
  <si>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</si>
  <si>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</si>
  <si>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</si>
  <si>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</si>
  <si>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</si>
  <si>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</si>
  <si>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</si>
  <si>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</si>
  <si>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</si>
  <si>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</si>
  <si>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</si>
  <si>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</si>
  <si>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</si>
  <si>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</si>
  <si>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</si>
  <si>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</si>
  <si>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</si>
  <si>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</si>
  <si>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</si>
  <si>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</si>
  <si>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</si>
  <si>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</si>
  <si>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</si>
  <si>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</si>
  <si>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</si>
  <si>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</si>
  <si>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</si>
  <si>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</si>
  <si>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</si>
  <si>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</si>
  <si>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</si>
  <si>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</si>
  <si>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</si>
  <si>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</si>
  <si>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</si>
  <si>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</si>
  <si>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</si>
  <si>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</si>
  <si>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</si>
  <si>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</si>
  <si>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</si>
  <si>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</si>
  <si>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</si>
  <si>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</si>
  <si>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</si>
  <si>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</si>
  <si>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</si>
  <si>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</si>
  <si>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</si>
  <si>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</si>
  <si>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</si>
  <si>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</si>
  <si>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</si>
  <si>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</si>
  <si>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</si>
  <si>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</si>
  <si>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</si>
  <si>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</si>
  <si>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</si>
  <si>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</si>
  <si>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</si>
  <si>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</si>
  <si>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</si>
  <si>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</si>
  <si>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</si>
  <si>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</si>
  <si>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</si>
  <si>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</si>
  <si>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</si>
  <si>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</si>
  <si>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</si>
  <si>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</si>
  <si>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</si>
  <si>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</si>
  <si>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</si>
  <si>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</si>
  <si>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</si>
  <si>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</si>
  <si>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</si>
  <si>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</si>
  <si>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</si>
  <si>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</si>
  <si>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</si>
  <si>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</si>
  <si>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</si>
  <si>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</si>
  <si>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</si>
  <si>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</si>
  <si>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</si>
  <si>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</si>
  <si>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</si>
  <si>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</si>
  <si>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</si>
  <si>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</si>
  <si>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</si>
  <si>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</si>
  <si>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</si>
  <si>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</si>
  <si>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</si>
  <si>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</si>
  <si>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</si>
  <si>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</si>
  <si>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</si>
  <si>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</si>
  <si>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</si>
  <si>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</si>
  <si>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</si>
  <si>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</si>
  <si>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</si>
  <si>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</si>
  <si>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</si>
  <si>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</si>
  <si>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</si>
  <si>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</si>
  <si>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</si>
  <si>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</si>
  <si>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</si>
  <si>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</si>
  <si>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</si>
  <si>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</si>
  <si>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</si>
  <si>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</si>
  <si>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</si>
  <si>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</si>
  <si>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</si>
  <si>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</si>
  <si>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</si>
  <si>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</si>
  <si>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</si>
  <si>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</si>
  <si>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</si>
  <si>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</si>
  <si>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</si>
  <si>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</si>
  <si>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</si>
  <si>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</si>
  <si>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</si>
  <si>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</si>
  <si>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</si>
  <si>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</si>
  <si>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</si>
  <si>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</si>
  <si>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</si>
  <si>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</si>
  <si>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</si>
  <si>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</si>
  <si>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</si>
  <si>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</si>
  <si>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</si>
  <si>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</si>
  <si>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</si>
  <si>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</si>
  <si>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</si>
  <si>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</si>
  <si>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</si>
  <si>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</si>
  <si>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</si>
  <si>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</si>
  <si>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</si>
  <si>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</si>
  <si>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</si>
  <si>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</si>
  <si>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</si>
  <si>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</si>
  <si>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</si>
  <si>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</si>
  <si>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</si>
  <si>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</si>
  <si>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</si>
  <si>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</si>
  <si>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</si>
  <si>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</si>
  <si>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</si>
  <si>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</si>
  <si>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</si>
  <si>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</si>
  <si>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</si>
  <si>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</si>
  <si>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</si>
  <si>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</si>
  <si>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</si>
  <si>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</si>
  <si>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</si>
  <si>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</si>
  <si>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</si>
  <si>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</si>
  <si>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</si>
  <si>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</si>
  <si>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</si>
  <si>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</si>
  <si>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</si>
  <si>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</si>
  <si>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</si>
  <si>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</si>
  <si>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</si>
  <si>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</si>
  <si>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</si>
  <si>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</si>
  <si>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</si>
  <si>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</si>
  <si>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</si>
  <si>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</si>
  <si>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</si>
  <si>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</si>
  <si>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</si>
  <si>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</si>
  <si>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</si>
  <si>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</si>
  <si>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</si>
  <si>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</si>
  <si>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</si>
  <si>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</si>
  <si>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</si>
  <si>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</si>
  <si>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</si>
  <si>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</si>
  <si>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</si>
  <si>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</si>
  <si>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</si>
  <si>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</si>
  <si>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</si>
  <si>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</si>
  <si>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</si>
  <si>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</si>
  <si>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</si>
  <si>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</si>
  <si>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</si>
  <si>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</si>
  <si>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</si>
  <si>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</si>
  <si>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</si>
  <si>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</si>
  <si>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</si>
  <si>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</si>
  <si>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</si>
  <si>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</si>
  <si>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</si>
  <si>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</si>
  <si>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</si>
  <si>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</si>
  <si>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</si>
  <si>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</si>
  <si>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</si>
  <si>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</si>
  <si>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</si>
  <si>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</si>
  <si>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</si>
  <si>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</si>
  <si>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</si>
  <si>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</si>
  <si>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</si>
  <si>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</si>
  <si>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</si>
  <si>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</si>
  <si>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</si>
  <si>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</si>
  <si>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</si>
  <si>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</si>
  <si>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</si>
  <si>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</si>
  <si>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</si>
  <si>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</si>
  <si>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</si>
  <si>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</si>
  <si>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</si>
  <si>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</si>
  <si>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</si>
  <si>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</si>
  <si>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</si>
  <si>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</si>
  <si>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</si>
  <si>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</si>
  <si>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</si>
  <si>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</si>
  <si>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</si>
  <si>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</si>
  <si>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</si>
  <si>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</si>
  <si>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</si>
  <si>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</si>
  <si>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</si>
  <si>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</si>
  <si>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</si>
  <si>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</si>
  <si>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</si>
  <si>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</si>
  <si>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</si>
  <si>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</si>
  <si>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</si>
  <si>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</si>
  <si>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</si>
  <si>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</si>
  <si>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</si>
  <si>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</si>
  <si>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</si>
  <si>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</si>
  <si>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</si>
  <si>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</si>
  <si>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</si>
  <si>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</si>
  <si>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</si>
  <si>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</si>
  <si>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</si>
  <si>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</si>
  <si>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</si>
  <si>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</si>
  <si>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</si>
  <si>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</si>
  <si>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</si>
  <si>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</si>
  <si>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</si>
  <si>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</si>
  <si>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</si>
  <si>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</si>
  <si>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</si>
  <si>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</si>
  <si>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</si>
  <si>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</si>
  <si>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</si>
  <si>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</si>
  <si>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</si>
  <si>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</si>
  <si>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</si>
  <si>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</si>
  <si>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</si>
  <si>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</si>
  <si>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</si>
  <si>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</si>
  <si>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</si>
  <si>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</si>
  <si>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</si>
  <si>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</si>
  <si>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</si>
  <si>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</si>
  <si>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</si>
  <si>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</si>
  <si>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</si>
  <si>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</si>
  <si>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</si>
  <si>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</si>
  <si>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</si>
  <si>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</si>
  <si>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</si>
  <si>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</si>
  <si>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</si>
  <si>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</si>
  <si>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</si>
  <si>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</si>
  <si>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</si>
  <si>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</si>
  <si>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</si>
  <si>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MSFI</t>
  </si>
  <si>
    <t>89406825003</t>
  </si>
  <si>
    <t>03410153</t>
  </si>
  <si>
    <t>060083654</t>
  </si>
  <si>
    <t>VODOVOD D.O.O.</t>
  </si>
  <si>
    <t>ZADAR</t>
  </si>
  <si>
    <t>ŠPIRE BRUSINE 17</t>
  </si>
  <si>
    <t>vodovod1@vodovod-zadar.hr</t>
  </si>
  <si>
    <t>023 282 902</t>
  </si>
  <si>
    <t>www.vodovod-zadar.hr</t>
  </si>
  <si>
    <t>KLAUDIA STULIĆ, IVA BRKIĆ</t>
  </si>
  <si>
    <t>023 282 926</t>
  </si>
  <si>
    <t>klaudia.stulic@vodovod-zadar.hr</t>
  </si>
  <si>
    <t>TOMISLAV MATEK, dipl. ing. građ.</t>
  </si>
  <si>
    <t>98910718267</t>
  </si>
  <si>
    <t>14</t>
  </si>
  <si>
    <t>15</t>
  </si>
  <si>
    <t>16</t>
  </si>
  <si>
    <t>12</t>
  </si>
  <si>
    <t>13</t>
  </si>
  <si>
    <t>24</t>
  </si>
  <si>
    <t>18</t>
  </si>
  <si>
    <t>17</t>
  </si>
  <si>
    <t>26</t>
  </si>
  <si>
    <t>23</t>
  </si>
  <si>
    <t>21</t>
  </si>
  <si>
    <t>19</t>
  </si>
  <si>
    <t>22</t>
  </si>
  <si>
    <t>20</t>
  </si>
  <si>
    <t>25</t>
  </si>
  <si>
    <t>7</t>
  </si>
  <si>
    <t>8</t>
  </si>
  <si>
    <t>9</t>
  </si>
  <si>
    <t>11</t>
  </si>
  <si>
    <t>10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</si>
</sst>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30200883.020000003</v>
      </c>
      <c r="I3" s="31">
        <f>ABS(ROUND(J3,0)-J3)+ABS(ROUND(K3,0)-K3)</f>
        <v>0</v>
      </c>
      <c r="J3" s="31">
        <f>Bilanca!I10</f>
        <v>505933245</v>
      </c>
      <c r="K3" s="31">
        <f>Bilanca!J10</f>
        <v>502055453</v>
      </c>
    </row>
    <row r="4" spans="1:11" ht="12.75">
      <c r="A4" s="4" t="s">
        <v>1088</v>
      </c>
      <c r="B4" s="29" t="s">
        <v>1888</v>
      </c>
      <c r="D4" s="4" t="s">
        <v>1521</v>
      </c>
      <c r="E4" s="4">
        <v>1</v>
      </c>
      <c r="F4" s="4">
        <f>Bilanca!G11</f>
        <v>3</v>
      </c>
      <c r="G4" s="4">
        <f>IF(Bilanca!H11=0,"",Bilanca!H11)</f>
      </c>
      <c r="H4" s="30">
        <f>J4/100*F4+2*K4/100*F4</f>
        <v>35377.92</v>
      </c>
      <c r="I4" s="31">
        <f>ABS(ROUND(J4,0)-J4)+ABS(ROUND(K4,0)-K4)</f>
        <v>0</v>
      </c>
      <c r="J4" s="31">
        <f>Bilanca!I11</f>
        <v>0</v>
      </c>
      <c r="K4" s="31">
        <f>Bilanca!J11</f>
        <v>589632</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03410153</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060083654</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89406825003</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VODOVOD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23000</v>
      </c>
      <c r="D10" s="4" t="s">
        <v>1521</v>
      </c>
      <c r="E10" s="4">
        <v>1</v>
      </c>
      <c r="F10" s="4">
        <f>Bilanca!G17</f>
        <v>9</v>
      </c>
      <c r="G10" s="4">
        <f>IF(Bilanca!H17=0,"",Bilanca!H17)</f>
      </c>
      <c r="H10" s="30">
        <f t="shared" si="0"/>
        <v>106133.76</v>
      </c>
      <c r="I10" s="31">
        <f t="shared" si="1"/>
        <v>0</v>
      </c>
      <c r="J10" s="31">
        <f>Bilanca!I17</f>
        <v>0</v>
      </c>
      <c r="K10" s="31">
        <f>Bilanca!J17</f>
        <v>589632</v>
      </c>
    </row>
    <row r="11" spans="1:11" ht="12.75">
      <c r="A11" s="4" t="s">
        <v>2355</v>
      </c>
      <c r="B11" s="29" t="str">
        <f>TRIM(RefStr!F31)</f>
        <v>ZADAR</v>
      </c>
      <c r="D11" s="4" t="s">
        <v>1521</v>
      </c>
      <c r="E11" s="4">
        <v>1</v>
      </c>
      <c r="F11" s="4">
        <f>Bilanca!G18</f>
        <v>10</v>
      </c>
      <c r="G11" s="4" t="str">
        <f>IF(Bilanca!H18=0,"",Bilanca!H18)</f>
        <v>15</v>
      </c>
      <c r="H11" s="30">
        <f t="shared" si="0"/>
        <v>147706772.8</v>
      </c>
      <c r="I11" s="31">
        <f t="shared" si="1"/>
        <v>0</v>
      </c>
      <c r="J11" s="31">
        <f>Bilanca!I18</f>
        <v>493513820</v>
      </c>
      <c r="K11" s="31">
        <f>Bilanca!J18</f>
        <v>491776954</v>
      </c>
    </row>
    <row r="12" spans="1:11" ht="12.75">
      <c r="A12" s="4" t="s">
        <v>2356</v>
      </c>
      <c r="B12" s="29" t="str">
        <f>TRIM(RefStr!C33)</f>
        <v>ŠPIRE BRUSINE 17</v>
      </c>
      <c r="D12" s="4" t="s">
        <v>1521</v>
      </c>
      <c r="E12" s="4">
        <v>1</v>
      </c>
      <c r="F12" s="4">
        <f>Bilanca!G19</f>
        <v>11</v>
      </c>
      <c r="G12" s="4">
        <f>IF(Bilanca!H19=0,"",Bilanca!H19)</f>
      </c>
      <c r="H12" s="30">
        <f t="shared" si="0"/>
        <v>16113980.850000001</v>
      </c>
      <c r="I12" s="31">
        <f t="shared" si="1"/>
        <v>0</v>
      </c>
      <c r="J12" s="31">
        <f>Bilanca!I19</f>
        <v>48830245</v>
      </c>
      <c r="K12" s="31">
        <f>Bilanca!J19</f>
        <v>48830245</v>
      </c>
    </row>
    <row r="13" spans="1:11" ht="12.75">
      <c r="A13" s="4" t="s">
        <v>1193</v>
      </c>
      <c r="B13" s="29" t="str">
        <f>TRIM(RefStr!C35)</f>
        <v>vodovod1@vodovod-zadar.hr</v>
      </c>
      <c r="D13" s="4" t="s">
        <v>1521</v>
      </c>
      <c r="E13" s="4">
        <v>1</v>
      </c>
      <c r="F13" s="4">
        <f>Bilanca!G20</f>
        <v>12</v>
      </c>
      <c r="G13" s="4">
        <f>IF(Bilanca!H20=0,"",Bilanca!H20)</f>
      </c>
      <c r="H13" s="30">
        <f t="shared" si="0"/>
        <v>148929365.76</v>
      </c>
      <c r="I13" s="31">
        <f t="shared" si="1"/>
        <v>0</v>
      </c>
      <c r="J13" s="31">
        <f>Bilanca!I20</f>
        <v>414437142</v>
      </c>
      <c r="K13" s="31">
        <f>Bilanca!J20</f>
        <v>413320453</v>
      </c>
    </row>
    <row r="14" spans="1:11" ht="12.75">
      <c r="A14" s="4" t="s">
        <v>1194</v>
      </c>
      <c r="B14" s="29" t="str">
        <f>TRIM(RefStr!C37)</f>
        <v>www.vodovod-zadar.hr</v>
      </c>
      <c r="D14" s="4" t="s">
        <v>1521</v>
      </c>
      <c r="E14" s="4">
        <v>1</v>
      </c>
      <c r="F14" s="4">
        <f>Bilanca!G21</f>
        <v>13</v>
      </c>
      <c r="G14" s="4">
        <f>IF(Bilanca!H21=0,"",Bilanca!H21)</f>
      </c>
      <c r="H14" s="30">
        <f t="shared" si="0"/>
        <v>6871867.21</v>
      </c>
      <c r="I14" s="31">
        <f t="shared" si="1"/>
        <v>0</v>
      </c>
      <c r="J14" s="31">
        <f>Bilanca!I21</f>
        <v>15458983</v>
      </c>
      <c r="K14" s="31">
        <f>Bilanca!J21</f>
        <v>18700767</v>
      </c>
    </row>
    <row r="15" spans="1:11" ht="12.75">
      <c r="A15" s="4" t="s">
        <v>2359</v>
      </c>
      <c r="B15" s="29" t="str">
        <f>TEXT(RefStr!J39,"00")</f>
        <v>13</v>
      </c>
      <c r="D15" s="4" t="s">
        <v>1521</v>
      </c>
      <c r="E15" s="4">
        <v>1</v>
      </c>
      <c r="F15" s="4">
        <f>Bilanca!G22</f>
        <v>14</v>
      </c>
      <c r="G15" s="4">
        <f>IF(Bilanca!H22=0,"",Bilanca!H22)</f>
      </c>
      <c r="H15" s="30">
        <f t="shared" si="0"/>
        <v>489997.2</v>
      </c>
      <c r="I15" s="31">
        <f t="shared" si="1"/>
        <v>0</v>
      </c>
      <c r="J15" s="31">
        <f>Bilanca!I22</f>
        <v>655176</v>
      </c>
      <c r="K15" s="31">
        <f>Bilanca!J22</f>
        <v>1422402</v>
      </c>
    </row>
    <row r="16" spans="1:11" ht="12.75">
      <c r="A16" s="4" t="s">
        <v>2358</v>
      </c>
      <c r="B16" s="29" t="str">
        <f>TEXT(RefStr!C39,"000")</f>
        <v>520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15</v>
      </c>
      <c r="H18" s="30">
        <f t="shared" si="0"/>
        <v>5633536.16</v>
      </c>
      <c r="I18" s="31">
        <f t="shared" si="1"/>
        <v>0</v>
      </c>
      <c r="J18" s="31">
        <f>Bilanca!I25</f>
        <v>14132274</v>
      </c>
      <c r="K18" s="31">
        <f>Bilanca!J25</f>
        <v>9503087</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t="str">
        <f>IF(Bilanca!H28=0,"",Bilanca!H28)</f>
        <v>16</v>
      </c>
      <c r="H21" s="30">
        <f t="shared" si="0"/>
        <v>607501.8</v>
      </c>
      <c r="I21" s="31">
        <f t="shared" si="1"/>
        <v>0</v>
      </c>
      <c r="J21" s="31">
        <f>Bilanca!I28</f>
        <v>2222053</v>
      </c>
      <c r="K21" s="31">
        <f>Bilanca!J28</f>
        <v>407728</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294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238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232</v>
      </c>
      <c r="D28" s="4" t="s">
        <v>1521</v>
      </c>
      <c r="E28" s="4">
        <v>1</v>
      </c>
      <c r="F28" s="4">
        <f>Bilanca!G35</f>
        <v>27</v>
      </c>
      <c r="G28" s="4" t="str">
        <f>IF(Bilanca!H35=0,"",Bilanca!H35)</f>
        <v>16</v>
      </c>
      <c r="H28" s="30">
        <f t="shared" si="0"/>
        <v>820127.4299999999</v>
      </c>
      <c r="I28" s="31">
        <f t="shared" si="1"/>
        <v>0</v>
      </c>
      <c r="J28" s="31">
        <f>Bilanca!I35</f>
        <v>2222053</v>
      </c>
      <c r="K28" s="31">
        <f>Bilanca!J35</f>
        <v>407728</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t="str">
        <f>IF(Bilanca!H39=0,"",Bilanca!H39)</f>
        <v>18</v>
      </c>
      <c r="H32" s="30">
        <f t="shared" si="0"/>
        <v>8915491.5</v>
      </c>
      <c r="I32" s="31">
        <f t="shared" si="1"/>
        <v>0</v>
      </c>
      <c r="J32" s="31">
        <f>Bilanca!I39</f>
        <v>10197372</v>
      </c>
      <c r="K32" s="31">
        <f>Bilanca!J39</f>
        <v>9281139</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t="str">
        <f>IF(Bilanca!H42=0,"",Bilanca!H42)</f>
        <v>18</v>
      </c>
      <c r="H35" s="30">
        <f t="shared" si="0"/>
        <v>9778281</v>
      </c>
      <c r="I35" s="31">
        <f t="shared" si="1"/>
        <v>0</v>
      </c>
      <c r="J35" s="31">
        <f>Bilanca!I42</f>
        <v>10197372</v>
      </c>
      <c r="K35" s="31">
        <f>Bilanca!J42</f>
        <v>9281139</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63928192.260000005</v>
      </c>
      <c r="I38" s="31">
        <f t="shared" si="1"/>
        <v>0</v>
      </c>
      <c r="J38" s="31">
        <f>Bilanca!I45</f>
        <v>58981318</v>
      </c>
      <c r="K38" s="31">
        <f>Bilanca!J45</f>
        <v>56898790</v>
      </c>
    </row>
    <row r="39" spans="1:11" ht="12.75">
      <c r="A39" s="4" t="s">
        <v>1216</v>
      </c>
      <c r="B39" s="29" t="str">
        <f>RefStr!C68</f>
        <v>KLAUDIA STULIĆ, IVA BRKIĆ</v>
      </c>
      <c r="D39" s="4" t="s">
        <v>1521</v>
      </c>
      <c r="E39" s="4">
        <v>1</v>
      </c>
      <c r="F39" s="4">
        <f>Bilanca!G46</f>
        <v>38</v>
      </c>
      <c r="G39" s="4" t="str">
        <f>IF(Bilanca!H46=0,"",Bilanca!H46)</f>
        <v>17</v>
      </c>
      <c r="H39" s="30">
        <f t="shared" si="0"/>
        <v>7889027.24</v>
      </c>
      <c r="I39" s="31">
        <f t="shared" si="1"/>
        <v>0</v>
      </c>
      <c r="J39" s="31">
        <f>Bilanca!I46</f>
        <v>6205926</v>
      </c>
      <c r="K39" s="31">
        <f>Bilanca!J46</f>
        <v>7277336</v>
      </c>
    </row>
    <row r="40" spans="1:11" ht="12.75">
      <c r="A40" s="4" t="s">
        <v>1217</v>
      </c>
      <c r="B40" s="29" t="str">
        <f>TRIM(RefStr!C70)</f>
        <v>023 282 926</v>
      </c>
      <c r="D40" s="4" t="s">
        <v>1521</v>
      </c>
      <c r="E40" s="4">
        <v>1</v>
      </c>
      <c r="F40" s="4">
        <f>Bilanca!G47</f>
        <v>39</v>
      </c>
      <c r="G40" s="4" t="str">
        <f>IF(Bilanca!H47=0,"",Bilanca!H47)</f>
        <v>17</v>
      </c>
      <c r="H40" s="30">
        <f t="shared" si="0"/>
        <v>8093384.13</v>
      </c>
      <c r="I40" s="31">
        <f t="shared" si="1"/>
        <v>0</v>
      </c>
      <c r="J40" s="31">
        <f>Bilanca!I47</f>
        <v>6197595</v>
      </c>
      <c r="K40" s="31">
        <f>Bilanca!J47</f>
        <v>7277336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klaudia.stulic@vodovod-zadar.hr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TOMISLAV MATEK, dipl. ing. 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20180101</v>
      </c>
      <c r="D44" s="4" t="s">
        <v>1521</v>
      </c>
      <c r="E44" s="4">
        <v>1</v>
      </c>
      <c r="F44" s="4">
        <f>Bilanca!G51</f>
        <v>43</v>
      </c>
      <c r="G44" s="4" t="str">
        <f>IF(Bilanca!H51=0,"",Bilanca!H51)</f>
        <v>17</v>
      </c>
      <c r="H44" s="30">
        <f t="shared" si="0"/>
        <v>3582.33</v>
      </c>
      <c r="I44" s="31">
        <f t="shared" si="1"/>
        <v>0</v>
      </c>
      <c r="J44" s="31">
        <f>Bilanca!I51</f>
        <v>8331</v>
      </c>
      <c r="K44" s="31">
        <f>Bilanca!J51</f>
        <v>0</v>
      </c>
    </row>
    <row r="45" spans="1:11" ht="12.75">
      <c r="A45" s="4" t="s">
        <v>2853</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41570571.68</v>
      </c>
      <c r="I47" s="31">
        <f t="shared" si="3"/>
        <v>0</v>
      </c>
      <c r="J47" s="31">
        <f>Bilanca!I54</f>
        <v>33842858</v>
      </c>
      <c r="K47" s="31">
        <f>Bilanca!J54</f>
        <v>28263975</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18</v>
      </c>
      <c r="H50" s="30">
        <f t="shared" si="2"/>
        <v>40524425.900000006</v>
      </c>
      <c r="I50" s="31">
        <f t="shared" si="3"/>
        <v>0</v>
      </c>
      <c r="J50" s="31">
        <f>Bilanca!I57</f>
        <v>30859282</v>
      </c>
      <c r="K50" s="31">
        <f>Bilanca!J57</f>
        <v>25921814</v>
      </c>
    </row>
    <row r="51" spans="1:11" ht="12.75">
      <c r="A51" s="4" t="s">
        <v>288</v>
      </c>
      <c r="B51" s="29" t="str">
        <f>RefStr!I60</f>
        <v>DA</v>
      </c>
      <c r="D51" s="4" t="s">
        <v>1521</v>
      </c>
      <c r="E51" s="4">
        <v>1</v>
      </c>
      <c r="F51" s="4">
        <f>Bilanca!G58</f>
        <v>50</v>
      </c>
      <c r="G51" s="4" t="str">
        <f>IF(Bilanca!H58=0,"",Bilanca!H58)</f>
        <v>19</v>
      </c>
      <c r="H51" s="30">
        <f t="shared" si="2"/>
        <v>152270.5</v>
      </c>
      <c r="I51" s="31">
        <f t="shared" si="3"/>
        <v>0</v>
      </c>
      <c r="J51" s="31">
        <f>Bilanca!I58</f>
        <v>108219</v>
      </c>
      <c r="K51" s="31">
        <f>Bilanca!J58</f>
        <v>98161</v>
      </c>
    </row>
    <row r="52" spans="1:11" ht="12.75">
      <c r="A52" s="4" t="s">
        <v>1219</v>
      </c>
      <c r="B52" s="29" t="s">
        <v>2618</v>
      </c>
      <c r="D52" s="4" t="s">
        <v>1521</v>
      </c>
      <c r="E52" s="4">
        <v>1</v>
      </c>
      <c r="F52" s="4">
        <f>Bilanca!G59</f>
        <v>51</v>
      </c>
      <c r="G52" s="4" t="str">
        <f>IF(Bilanca!H59=0,"",Bilanca!H59)</f>
        <v>19</v>
      </c>
      <c r="H52" s="30">
        <f t="shared" si="2"/>
        <v>129356.40000000001</v>
      </c>
      <c r="I52" s="31">
        <f t="shared" si="3"/>
        <v>0</v>
      </c>
      <c r="J52" s="31">
        <f>Bilanca!I59</f>
        <v>60396</v>
      </c>
      <c r="K52" s="31">
        <f>Bilanca!J59</f>
        <v>96622</v>
      </c>
    </row>
    <row r="53" spans="1:11" ht="12.75">
      <c r="A53" s="4" t="s">
        <v>532</v>
      </c>
      <c r="B53" s="29" t="str">
        <f>RefStr!I56</f>
        <v>DA</v>
      </c>
      <c r="D53" s="4" t="s">
        <v>1521</v>
      </c>
      <c r="E53" s="4">
        <v>1</v>
      </c>
      <c r="F53" s="4">
        <f>Bilanca!G60</f>
        <v>52</v>
      </c>
      <c r="G53" s="4" t="str">
        <f>IF(Bilanca!H60=0,"",Bilanca!H60)</f>
        <v>19</v>
      </c>
      <c r="H53" s="30">
        <f t="shared" si="2"/>
        <v>3697052.84</v>
      </c>
      <c r="I53" s="31">
        <f t="shared" si="3"/>
        <v>0</v>
      </c>
      <c r="J53" s="31">
        <f>Bilanca!I60</f>
        <v>2814961</v>
      </c>
      <c r="K53" s="31">
        <f>Bilanca!J60</f>
        <v>2147378</v>
      </c>
    </row>
    <row r="54" spans="1:11" ht="12.75">
      <c r="A54" s="4" t="s">
        <v>533</v>
      </c>
      <c r="B54" s="29" t="str">
        <f>RefStr!I62</f>
        <v>DA</v>
      </c>
      <c r="D54" s="4" t="s">
        <v>1521</v>
      </c>
      <c r="E54" s="4">
        <v>1</v>
      </c>
      <c r="F54" s="4">
        <f>Bilanca!G61</f>
        <v>53</v>
      </c>
      <c r="G54" s="4">
        <f>IF(Bilanca!H61=0,"",Bilanca!H61)</f>
      </c>
      <c r="H54" s="30">
        <f t="shared" si="2"/>
        <v>7950000</v>
      </c>
      <c r="I54" s="31">
        <f t="shared" si="3"/>
        <v>0</v>
      </c>
      <c r="J54" s="31">
        <f>Bilanca!I61</f>
        <v>5000000</v>
      </c>
      <c r="K54" s="31">
        <f>Bilanca!J61</f>
        <v>5000000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10819608113.020004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20</v>
      </c>
      <c r="H62" s="30">
        <f t="shared" si="2"/>
        <v>9150000</v>
      </c>
      <c r="I62" s="31">
        <f t="shared" si="3"/>
        <v>0</v>
      </c>
      <c r="J62" s="31">
        <f>Bilanca!I69</f>
        <v>5000000</v>
      </c>
      <c r="K62" s="31">
        <f>Bilanca!J69</f>
        <v>5000000</v>
      </c>
    </row>
    <row r="63" spans="1:11" ht="12.75">
      <c r="A63" s="4" t="s">
        <v>777</v>
      </c>
      <c r="B63" s="29" t="str">
        <f>IF(ISNUMBER(VALUE(RefStr!L21)),TEXT(INT(VALUE(RefStr!L21)),"00000000000"),"")</f>
        <v>98910718267</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21</v>
      </c>
      <c r="H64" s="30">
        <f t="shared" si="2"/>
        <v>29387919.96</v>
      </c>
      <c r="I64" s="31">
        <f t="shared" si="3"/>
        <v>0</v>
      </c>
      <c r="J64" s="31">
        <f>Bilanca!I71</f>
        <v>13932534</v>
      </c>
      <c r="K64" s="31">
        <f>Bilanca!J71</f>
        <v>16357479</v>
      </c>
    </row>
    <row r="65" spans="1:11" ht="12.75">
      <c r="A65" s="4" t="s">
        <v>687</v>
      </c>
      <c r="B65" s="29" t="str">
        <f>RefStr!N19</f>
        <v>MSFI</v>
      </c>
      <c r="D65" s="4" t="s">
        <v>1521</v>
      </c>
      <c r="E65" s="4">
        <v>1</v>
      </c>
      <c r="F65" s="4">
        <f>Bilanca!G72</f>
        <v>64</v>
      </c>
      <c r="G65" s="4">
        <f>IF(Bilanca!H72=0,"",Bilanca!H72)</f>
      </c>
      <c r="H65" s="30">
        <f t="shared" si="2"/>
        <v>59021.44</v>
      </c>
      <c r="I65" s="31">
        <f t="shared" si="3"/>
        <v>0</v>
      </c>
      <c r="J65" s="31">
        <f>Bilanca!I72</f>
        <v>82887</v>
      </c>
      <c r="K65" s="31">
        <f>Bilanca!J72</f>
        <v>4667</v>
      </c>
    </row>
    <row r="66" spans="1:11" ht="12.75">
      <c r="A66" s="4" t="s">
        <v>688</v>
      </c>
      <c r="B66" s="29">
        <f>RefStr!C23</f>
        <v>1</v>
      </c>
      <c r="D66" s="4" t="s">
        <v>1521</v>
      </c>
      <c r="E66" s="4">
        <v>1</v>
      </c>
      <c r="F66" s="4">
        <f>Bilanca!G73</f>
        <v>65</v>
      </c>
      <c r="G66" s="4">
        <f>IF(Bilanca!H73=0,"",Bilanca!H73)</f>
      </c>
      <c r="H66" s="30">
        <f t="shared" si="2"/>
        <v>1093894925.5</v>
      </c>
      <c r="I66" s="31">
        <f t="shared" si="3"/>
        <v>0</v>
      </c>
      <c r="J66" s="31">
        <f>Bilanca!I73</f>
        <v>564997450</v>
      </c>
      <c r="K66" s="31">
        <f>Bilanca!J73</f>
        <v>558958910</v>
      </c>
    </row>
    <row r="67" spans="1:11" ht="12.75">
      <c r="A67" s="4" t="s">
        <v>689</v>
      </c>
      <c r="B67" s="29" t="str">
        <f>RefStr!L35</f>
        <v>023 282 902</v>
      </c>
      <c r="D67" s="4" t="s">
        <v>1521</v>
      </c>
      <c r="E67" s="4">
        <v>1</v>
      </c>
      <c r="F67" s="4">
        <f>Bilanca!G74</f>
        <v>66</v>
      </c>
      <c r="G67" s="4">
        <f>IF(Bilanca!H74=0,"",Bilanca!H74)</f>
      </c>
      <c r="H67" s="30">
        <f t="shared" si="2"/>
        <v>4275.4800000000005</v>
      </c>
      <c r="I67" s="31">
        <f t="shared" si="3"/>
        <v>0</v>
      </c>
      <c r="J67" s="31">
        <f>Bilanca!I74</f>
        <v>2182</v>
      </c>
      <c r="K67" s="31">
        <f>Bilanca!J74</f>
        <v>2148</v>
      </c>
    </row>
    <row r="68" spans="1:11" ht="12.75">
      <c r="A68" s="4" t="s">
        <v>690</v>
      </c>
      <c r="B68" s="29">
        <f>RefStr!C44</f>
        <v>1</v>
      </c>
      <c r="D68" s="4" t="s">
        <v>1521</v>
      </c>
      <c r="E68" s="4">
        <v>1</v>
      </c>
      <c r="F68" s="4">
        <f>Bilanca!G76</f>
        <v>67</v>
      </c>
      <c r="G68" s="4">
        <f>IF(Bilanca!H76=0,"",Bilanca!H76)</f>
      </c>
      <c r="H68" s="30">
        <f t="shared" si="2"/>
        <v>321332002.01</v>
      </c>
      <c r="I68" s="31">
        <f t="shared" si="3"/>
        <v>0</v>
      </c>
      <c r="J68" s="31">
        <f>Bilanca!I76</f>
        <v>159856499</v>
      </c>
      <c r="K68" s="31">
        <f>Bilanca!J76</f>
        <v>159871752</v>
      </c>
    </row>
    <row r="69" spans="1:11" ht="12.75">
      <c r="A69" s="4" t="s">
        <v>691</v>
      </c>
      <c r="B69" s="29">
        <f>RefStr!M46</f>
        <v>0</v>
      </c>
      <c r="D69" s="4" t="s">
        <v>1521</v>
      </c>
      <c r="E69" s="4">
        <v>1</v>
      </c>
      <c r="F69" s="4">
        <f>Bilanca!G77</f>
        <v>68</v>
      </c>
      <c r="G69" s="4" t="str">
        <f>IF(Bilanca!H77=0,"",Bilanca!H77)</f>
        <v>22</v>
      </c>
      <c r="H69" s="30">
        <f t="shared" si="2"/>
        <v>325346952</v>
      </c>
      <c r="I69" s="31">
        <f t="shared" si="3"/>
        <v>0</v>
      </c>
      <c r="J69" s="31">
        <f>Bilanca!I77</f>
        <v>159483800</v>
      </c>
      <c r="K69" s="31">
        <f>Bilanca!J77</f>
        <v>159483800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825610.32</v>
      </c>
      <c r="I82" s="31">
        <f t="shared" si="3"/>
        <v>0</v>
      </c>
      <c r="J82" s="31">
        <f>Bilanca!I90</f>
        <v>273874</v>
      </c>
      <c r="K82" s="31">
        <f>Bilanca!J90</f>
        <v>372699</v>
      </c>
    </row>
    <row r="83" spans="4:11" ht="12.75">
      <c r="D83" s="4" t="s">
        <v>1521</v>
      </c>
      <c r="E83" s="4">
        <v>1</v>
      </c>
      <c r="F83" s="4">
        <f>Bilanca!G91</f>
        <v>82</v>
      </c>
      <c r="G83" s="4" t="str">
        <f>IF(Bilanca!H91=0,"",Bilanca!H91)</f>
        <v>22</v>
      </c>
      <c r="H83" s="30">
        <f t="shared" si="2"/>
        <v>835803.04</v>
      </c>
      <c r="I83" s="31">
        <f t="shared" si="3"/>
        <v>0</v>
      </c>
      <c r="J83" s="31">
        <f>Bilanca!I91</f>
        <v>273874</v>
      </c>
      <c r="K83" s="31">
        <f>Bilanca!J91</f>
        <v>372699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108638.04000000001</v>
      </c>
      <c r="I85" s="31">
        <f>ABS(ROUND(J85,0)-J85)+ABS(ROUND(K85,0)-K85)</f>
        <v>0</v>
      </c>
      <c r="J85" s="31">
        <f>Bilanca!I93</f>
        <v>98825</v>
      </c>
      <c r="K85" s="31">
        <f>Bilanca!J93</f>
        <v>15253</v>
      </c>
    </row>
    <row r="86" spans="4:11" ht="12.75">
      <c r="D86" s="4" t="s">
        <v>1521</v>
      </c>
      <c r="E86" s="4">
        <v>1</v>
      </c>
      <c r="F86" s="4">
        <f>Bilanca!G94</f>
        <v>85</v>
      </c>
      <c r="G86" s="4" t="str">
        <f>IF(Bilanca!H94=0,"",Bilanca!H94)</f>
        <v>22</v>
      </c>
      <c r="H86" s="30">
        <f>J86/100*F86+2*K86/100*F86</f>
        <v>109931.35</v>
      </c>
      <c r="I86" s="31">
        <f>ABS(ROUND(J86,0)-J86)+ABS(ROUND(K86,0)-K86)</f>
        <v>0</v>
      </c>
      <c r="J86" s="31">
        <f>Bilanca!I94</f>
        <v>98825</v>
      </c>
      <c r="K86" s="31">
        <f>Bilanca!J94</f>
        <v>15253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1669947.05</v>
      </c>
      <c r="I96" s="31">
        <f t="shared" si="5"/>
        <v>0</v>
      </c>
      <c r="J96" s="31">
        <f>Bilanca!I104</f>
        <v>269675</v>
      </c>
      <c r="K96" s="31">
        <f>Bilanca!J104</f>
        <v>744082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23</v>
      </c>
      <c r="H102" s="30">
        <f t="shared" si="4"/>
        <v>1775417.39</v>
      </c>
      <c r="I102" s="31">
        <f t="shared" si="5"/>
        <v>0</v>
      </c>
      <c r="J102" s="31">
        <f>Bilanca!I110</f>
        <v>269675</v>
      </c>
      <c r="K102" s="31">
        <f>Bilanca!J110</f>
        <v>744082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73202875.14</v>
      </c>
      <c r="I108" s="31">
        <f t="shared" si="5"/>
        <v>0</v>
      </c>
      <c r="J108" s="31">
        <f>Bilanca!I116</f>
        <v>24928018</v>
      </c>
      <c r="K108" s="31">
        <f>Bilanca!J116</f>
        <v>21742942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t="str">
        <f>IF(Bilanca!H122=0,"",Bilanca!H122)</f>
        <v>23</v>
      </c>
      <c r="H114" s="30">
        <f t="shared" si="4"/>
        <v>1123902.52</v>
      </c>
      <c r="I114" s="31">
        <f t="shared" si="5"/>
        <v>0</v>
      </c>
      <c r="J114" s="31">
        <f>Bilanca!I122</f>
        <v>230584</v>
      </c>
      <c r="K114" s="31">
        <f>Bilanca!J122</f>
        <v>382010</v>
      </c>
    </row>
    <row r="115" spans="4:11" ht="12.75">
      <c r="D115" s="4" t="s">
        <v>1521</v>
      </c>
      <c r="E115" s="4">
        <v>1</v>
      </c>
      <c r="F115" s="4">
        <f>Bilanca!G123</f>
        <v>114</v>
      </c>
      <c r="G115" s="4" t="str">
        <f>IF(Bilanca!H123=0,"",Bilanca!H123)</f>
        <v>25</v>
      </c>
      <c r="H115" s="30">
        <f t="shared" si="4"/>
        <v>5571146.94</v>
      </c>
      <c r="I115" s="31">
        <f t="shared" si="5"/>
        <v>0</v>
      </c>
      <c r="J115" s="31">
        <f>Bilanca!I123</f>
        <v>1474977</v>
      </c>
      <c r="K115" s="31">
        <f>Bilanca!J123</f>
        <v>1705997</v>
      </c>
    </row>
    <row r="116" spans="4:11" ht="12.75">
      <c r="D116" s="4" t="s">
        <v>1521</v>
      </c>
      <c r="E116" s="4">
        <v>1</v>
      </c>
      <c r="F116" s="4">
        <f>Bilanca!G124</f>
        <v>115</v>
      </c>
      <c r="G116" s="4" t="str">
        <f>IF(Bilanca!H124=0,"",Bilanca!H124)</f>
        <v>24</v>
      </c>
      <c r="H116" s="30">
        <f t="shared" si="4"/>
        <v>26662890.3</v>
      </c>
      <c r="I116" s="31">
        <f t="shared" si="5"/>
        <v>0</v>
      </c>
      <c r="J116" s="31">
        <f>Bilanca!I124</f>
        <v>9034938</v>
      </c>
      <c r="K116" s="31">
        <f>Bilanca!J124</f>
        <v>7075092</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25</v>
      </c>
      <c r="H118" s="30">
        <f t="shared" si="4"/>
        <v>5717980.71</v>
      </c>
      <c r="I118" s="31">
        <f t="shared" si="5"/>
        <v>0</v>
      </c>
      <c r="J118" s="31">
        <f>Bilanca!I126</f>
        <v>2054619</v>
      </c>
      <c r="K118" s="31">
        <f>Bilanca!J126</f>
        <v>1416272</v>
      </c>
    </row>
    <row r="119" spans="4:11" ht="12.75">
      <c r="D119" s="4" t="s">
        <v>1521</v>
      </c>
      <c r="E119" s="4">
        <v>1</v>
      </c>
      <c r="F119" s="4">
        <f>Bilanca!G127</f>
        <v>118</v>
      </c>
      <c r="G119" s="4" t="str">
        <f>IF(Bilanca!H127=0,"",Bilanca!H127)</f>
        <v>25</v>
      </c>
      <c r="H119" s="30">
        <f t="shared" si="4"/>
        <v>4117943.94</v>
      </c>
      <c r="I119" s="31">
        <f t="shared" si="5"/>
        <v>0</v>
      </c>
      <c r="J119" s="31">
        <f>Bilanca!I127</f>
        <v>1121311</v>
      </c>
      <c r="K119" s="31">
        <f>Bilanca!J127</f>
        <v>1184236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25</v>
      </c>
      <c r="H122" s="30">
        <f t="shared" si="4"/>
        <v>37474013.39</v>
      </c>
      <c r="I122" s="31">
        <f t="shared" si="5"/>
        <v>0</v>
      </c>
      <c r="J122" s="31">
        <f>Bilanca!I130</f>
        <v>11011589</v>
      </c>
      <c r="K122" s="31">
        <f>Bilanca!J130</f>
        <v>9979335</v>
      </c>
    </row>
    <row r="123" spans="4:11" ht="12.75">
      <c r="D123" s="4" t="s">
        <v>1521</v>
      </c>
      <c r="E123" s="4">
        <v>1</v>
      </c>
      <c r="F123" s="4">
        <f>Bilanca!G131</f>
        <v>122</v>
      </c>
      <c r="G123" s="4" t="str">
        <f>IF(Bilanca!H131=0,"",Bilanca!H131)</f>
        <v>26</v>
      </c>
      <c r="H123" s="30">
        <f t="shared" si="4"/>
        <v>1382435101.7199998</v>
      </c>
      <c r="I123" s="31">
        <f t="shared" si="5"/>
        <v>0</v>
      </c>
      <c r="J123" s="31">
        <f>Bilanca!I131</f>
        <v>379943258</v>
      </c>
      <c r="K123" s="31">
        <f>Bilanca!J131</f>
        <v>376600134</v>
      </c>
    </row>
    <row r="124" spans="4:11" ht="12.75">
      <c r="D124" s="4" t="s">
        <v>1521</v>
      </c>
      <c r="E124" s="4">
        <v>1</v>
      </c>
      <c r="F124" s="4">
        <f>Bilanca!G132</f>
        <v>123</v>
      </c>
      <c r="G124" s="4">
        <f>IF(Bilanca!H132=0,"",Bilanca!H132)</f>
      </c>
      <c r="H124" s="30">
        <f t="shared" si="4"/>
        <v>2069985782.1</v>
      </c>
      <c r="I124" s="31">
        <f t="shared" si="5"/>
        <v>0</v>
      </c>
      <c r="J124" s="31">
        <f>Bilanca!I132</f>
        <v>564997450</v>
      </c>
      <c r="K124" s="31">
        <f>Bilanca!J132</f>
        <v>558958910</v>
      </c>
    </row>
    <row r="125" spans="4:11" ht="12.75">
      <c r="D125" s="4" t="s">
        <v>1521</v>
      </c>
      <c r="E125" s="4">
        <v>1</v>
      </c>
      <c r="F125" s="4">
        <f>Bilanca!G133</f>
        <v>124</v>
      </c>
      <c r="G125" s="4">
        <f>IF(Bilanca!H133=0,"",Bilanca!H133)</f>
      </c>
      <c r="H125" s="30">
        <f t="shared" si="4"/>
        <v>8032.719999999999</v>
      </c>
      <c r="I125" s="31">
        <f t="shared" si="5"/>
        <v>0</v>
      </c>
      <c r="J125" s="31">
        <f>Bilanca!I133</f>
        <v>2182</v>
      </c>
      <c r="K125" s="31">
        <f>Bilanca!J133</f>
        <v>2148</v>
      </c>
    </row>
    <row r="126" spans="4:11" ht="12.75">
      <c r="D126" s="4" t="s">
        <v>541</v>
      </c>
      <c r="E126" s="4">
        <v>2</v>
      </c>
      <c r="F126" s="4">
        <f>RDG!G8</f>
        <v>125</v>
      </c>
      <c r="G126" s="4">
        <f>IF(RDG!H8=0,"",RDG!H8)</f>
      </c>
      <c r="H126" s="30">
        <f t="shared" si="4"/>
        <v>305610635</v>
      </c>
      <c r="I126" s="4">
        <f t="shared" si="5"/>
        <v>0</v>
      </c>
      <c r="J126" s="31">
        <f>RDG!I8</f>
        <v>81369076</v>
      </c>
      <c r="K126" s="31">
        <f>RDG!J8</f>
        <v>81559716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7</v>
      </c>
      <c r="H128" s="30">
        <f aca="true" t="shared" si="6" ref="H128:H190">J128/100*F128+2*K128/100*F128</f>
        <v>232082812.44</v>
      </c>
      <c r="I128" s="4">
        <f aca="true" t="shared" si="7" ref="I128:I190">ABS(ROUND(J128,0)-J128)+ABS(ROUND(K128,0)-K128)</f>
        <v>0</v>
      </c>
      <c r="J128" s="31">
        <f>RDG!I10</f>
        <v>61744790</v>
      </c>
      <c r="K128" s="31">
        <f>RDG!J10</f>
        <v>60498791</v>
      </c>
    </row>
    <row r="129" spans="4:11" ht="12.75">
      <c r="D129" s="4" t="s">
        <v>541</v>
      </c>
      <c r="E129" s="4">
        <v>2</v>
      </c>
      <c r="F129" s="4">
        <f>RDG!G11</f>
        <v>128</v>
      </c>
      <c r="G129" s="4" t="str">
        <f>IF(RDG!H11=0,"",RDG!H11)</f>
        <v>8</v>
      </c>
      <c r="H129" s="30">
        <f t="shared" si="6"/>
        <v>8692655.36</v>
      </c>
      <c r="I129" s="4">
        <f t="shared" si="7"/>
        <v>0</v>
      </c>
      <c r="J129" s="31">
        <f>RDG!I11</f>
        <v>2551521</v>
      </c>
      <c r="K129" s="31">
        <f>RDG!J11</f>
        <v>2119808</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8</v>
      </c>
      <c r="H131" s="30">
        <f t="shared" si="6"/>
        <v>71441498.7</v>
      </c>
      <c r="I131" s="4">
        <f t="shared" si="7"/>
        <v>0</v>
      </c>
      <c r="J131" s="31">
        <f>RDG!I13</f>
        <v>17072765</v>
      </c>
      <c r="K131" s="31">
        <f>RDG!J13</f>
        <v>18941117</v>
      </c>
    </row>
    <row r="132" spans="4:11" ht="12.75">
      <c r="D132" s="4" t="s">
        <v>541</v>
      </c>
      <c r="E132" s="4">
        <v>2</v>
      </c>
      <c r="F132" s="4">
        <f>RDG!G14</f>
        <v>131</v>
      </c>
      <c r="G132" s="4">
        <f>IF(RDG!H14=0,"",RDG!H14)</f>
      </c>
      <c r="H132" s="30">
        <f t="shared" si="6"/>
        <v>319540057.48</v>
      </c>
      <c r="I132" s="4">
        <f t="shared" si="7"/>
        <v>0</v>
      </c>
      <c r="J132" s="31">
        <f>RDG!I14</f>
        <v>83191680</v>
      </c>
      <c r="K132" s="31">
        <f>RDG!J14</f>
        <v>80366014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109568372.55000001</v>
      </c>
      <c r="I134" s="4">
        <f t="shared" si="7"/>
        <v>0</v>
      </c>
      <c r="J134" s="31">
        <f>RDG!I16</f>
        <v>26946355</v>
      </c>
      <c r="K134" s="31">
        <f>RDG!J16</f>
        <v>27717940</v>
      </c>
    </row>
    <row r="135" spans="4:11" ht="12.75">
      <c r="D135" s="4" t="s">
        <v>541</v>
      </c>
      <c r="E135" s="4">
        <v>2</v>
      </c>
      <c r="F135" s="4">
        <f>RDG!G17</f>
        <v>134</v>
      </c>
      <c r="G135" s="4" t="str">
        <f>IF(RDG!H17=0,"",RDG!H17)</f>
        <v>9</v>
      </c>
      <c r="H135" s="30">
        <f t="shared" si="6"/>
        <v>76928660.32</v>
      </c>
      <c r="I135" s="4">
        <f t="shared" si="7"/>
        <v>0</v>
      </c>
      <c r="J135" s="31">
        <f>RDG!I17</f>
        <v>17729968</v>
      </c>
      <c r="K135" s="31">
        <f>RDG!J17</f>
        <v>19839740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9</v>
      </c>
      <c r="H137" s="30">
        <f t="shared" si="6"/>
        <v>33962990.32</v>
      </c>
      <c r="I137" s="4">
        <f t="shared" si="7"/>
        <v>0</v>
      </c>
      <c r="J137" s="31">
        <f>RDG!I19</f>
        <v>9216387</v>
      </c>
      <c r="K137" s="31">
        <f>RDG!J19</f>
        <v>7878200</v>
      </c>
    </row>
    <row r="138" spans="4:11" ht="12.75">
      <c r="D138" s="4" t="s">
        <v>541</v>
      </c>
      <c r="E138" s="4">
        <v>2</v>
      </c>
      <c r="F138" s="4">
        <f>RDG!G20</f>
        <v>137</v>
      </c>
      <c r="G138" s="4">
        <f>IF(RDG!H20=0,"",RDG!H20)</f>
      </c>
      <c r="H138" s="30">
        <f t="shared" si="6"/>
        <v>113888539.77</v>
      </c>
      <c r="I138" s="4">
        <f t="shared" si="7"/>
        <v>0</v>
      </c>
      <c r="J138" s="31">
        <f>RDG!I20</f>
        <v>27934151</v>
      </c>
      <c r="K138" s="31">
        <f>RDG!J20</f>
        <v>27598085</v>
      </c>
    </row>
    <row r="139" spans="4:11" ht="12.75">
      <c r="D139" s="4" t="s">
        <v>541</v>
      </c>
      <c r="E139" s="4">
        <v>2</v>
      </c>
      <c r="F139" s="4">
        <f>RDG!G21</f>
        <v>138</v>
      </c>
      <c r="G139" s="4" t="str">
        <f>IF(RDG!H21=0,"",RDG!H21)</f>
        <v>10</v>
      </c>
      <c r="H139" s="30">
        <f t="shared" si="6"/>
        <v>79280265.84</v>
      </c>
      <c r="I139" s="4">
        <f t="shared" si="7"/>
        <v>0</v>
      </c>
      <c r="J139" s="31">
        <f>RDG!I21</f>
        <v>19345208</v>
      </c>
      <c r="K139" s="31">
        <f>RDG!J21</f>
        <v>19052130</v>
      </c>
    </row>
    <row r="140" spans="4:11" ht="12.75">
      <c r="D140" s="4" t="s">
        <v>541</v>
      </c>
      <c r="E140" s="4">
        <v>2</v>
      </c>
      <c r="F140" s="4">
        <f>RDG!G22</f>
        <v>139</v>
      </c>
      <c r="G140" s="4" t="str">
        <f>IF(RDG!H22=0,"",RDG!H22)</f>
        <v>10</v>
      </c>
      <c r="H140" s="30">
        <f t="shared" si="6"/>
        <v>20983941.79</v>
      </c>
      <c r="I140" s="4">
        <f t="shared" si="7"/>
        <v>0</v>
      </c>
      <c r="J140" s="31">
        <f>RDG!I22</f>
        <v>5037721</v>
      </c>
      <c r="K140" s="31">
        <f>RDG!J22</f>
        <v>5029320</v>
      </c>
    </row>
    <row r="141" spans="4:11" ht="12.75">
      <c r="D141" s="4" t="s">
        <v>541</v>
      </c>
      <c r="E141" s="4">
        <v>2</v>
      </c>
      <c r="F141" s="4">
        <f>RDG!G23</f>
        <v>140</v>
      </c>
      <c r="G141" s="4" t="str">
        <f>IF(RDG!H23=0,"",RDG!H23)</f>
        <v>10</v>
      </c>
      <c r="H141" s="30">
        <f t="shared" si="6"/>
        <v>14818288.8</v>
      </c>
      <c r="I141" s="4">
        <f t="shared" si="7"/>
        <v>0</v>
      </c>
      <c r="J141" s="31">
        <f>RDG!I23</f>
        <v>3551222</v>
      </c>
      <c r="K141" s="31">
        <f>RDG!J23</f>
        <v>3516635</v>
      </c>
    </row>
    <row r="142" spans="4:11" ht="12.75">
      <c r="D142" s="4" t="s">
        <v>541</v>
      </c>
      <c r="E142" s="4">
        <v>2</v>
      </c>
      <c r="F142" s="4">
        <f>RDG!G24</f>
        <v>141</v>
      </c>
      <c r="G142" s="4" t="str">
        <f>IF(RDG!H24=0,"",RDG!H24)</f>
        <v>15</v>
      </c>
      <c r="H142" s="30">
        <f t="shared" si="6"/>
        <v>69282415.65</v>
      </c>
      <c r="I142" s="4">
        <f t="shared" si="7"/>
        <v>0</v>
      </c>
      <c r="J142" s="31">
        <f>RDG!I24</f>
        <v>15524769</v>
      </c>
      <c r="K142" s="31">
        <f>RDG!J24</f>
        <v>16805848</v>
      </c>
    </row>
    <row r="143" spans="4:11" ht="12.75">
      <c r="D143" s="4" t="s">
        <v>541</v>
      </c>
      <c r="E143" s="4">
        <v>2</v>
      </c>
      <c r="F143" s="4">
        <f>RDG!G25</f>
        <v>142</v>
      </c>
      <c r="G143" s="4" t="str">
        <f>IF(RDG!H25=0,"",RDG!H25)</f>
        <v>11</v>
      </c>
      <c r="H143" s="30">
        <f t="shared" si="6"/>
        <v>12423601.3</v>
      </c>
      <c r="I143" s="4">
        <f t="shared" si="7"/>
        <v>0</v>
      </c>
      <c r="J143" s="31">
        <f>RDG!I25</f>
        <v>3270777</v>
      </c>
      <c r="K143" s="31">
        <f>RDG!J25</f>
        <v>2739119</v>
      </c>
    </row>
    <row r="144" spans="4:11" ht="12.75">
      <c r="D144" s="4" t="s">
        <v>541</v>
      </c>
      <c r="E144" s="4">
        <v>2</v>
      </c>
      <c r="F144" s="4">
        <f>RDG!G26</f>
        <v>143</v>
      </c>
      <c r="G144" s="4">
        <f>IF(RDG!H26=0,"",RDG!H26)</f>
      </c>
      <c r="H144" s="30">
        <f t="shared" si="6"/>
        <v>22718198.36</v>
      </c>
      <c r="I144" s="4">
        <f t="shared" si="7"/>
        <v>0</v>
      </c>
      <c r="J144" s="31">
        <f>RDG!I26</f>
        <v>6900784</v>
      </c>
      <c r="K144" s="31">
        <f>RDG!J26</f>
        <v>4493034</v>
      </c>
    </row>
    <row r="145" spans="4:11" ht="12.75">
      <c r="D145" s="4" t="s">
        <v>541</v>
      </c>
      <c r="E145" s="4">
        <v>2</v>
      </c>
      <c r="F145" s="4">
        <f>RDG!G27</f>
        <v>144</v>
      </c>
      <c r="G145" s="4">
        <f>IF(RDG!H27=0,"",RDG!H27)</f>
      </c>
      <c r="H145" s="30">
        <f t="shared" si="6"/>
        <v>1830716.64</v>
      </c>
      <c r="I145" s="4">
        <f t="shared" si="7"/>
        <v>0</v>
      </c>
      <c r="J145" s="31">
        <f>RDG!I27</f>
        <v>1271331</v>
      </c>
      <c r="K145" s="31">
        <f>RDG!J27</f>
        <v>0</v>
      </c>
    </row>
    <row r="146" spans="4:11" ht="12.75">
      <c r="D146" s="4" t="s">
        <v>541</v>
      </c>
      <c r="E146" s="4">
        <v>2</v>
      </c>
      <c r="F146" s="4">
        <f>RDG!G28</f>
        <v>145</v>
      </c>
      <c r="G146" s="4" t="str">
        <f>IF(RDG!H28=0,"",RDG!H28)</f>
        <v>11</v>
      </c>
      <c r="H146" s="30">
        <f t="shared" si="6"/>
        <v>21192505.45</v>
      </c>
      <c r="I146" s="4">
        <f t="shared" si="7"/>
        <v>0</v>
      </c>
      <c r="J146" s="31">
        <f>RDG!I28</f>
        <v>5629453</v>
      </c>
      <c r="K146" s="31">
        <f>RDG!J28</f>
        <v>4493034</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11</v>
      </c>
      <c r="H154" s="30">
        <f t="shared" si="6"/>
        <v>7097394.6</v>
      </c>
      <c r="I154" s="4">
        <f t="shared" si="7"/>
        <v>0</v>
      </c>
      <c r="J154" s="31">
        <f>RDG!I36</f>
        <v>2614844</v>
      </c>
      <c r="K154" s="31">
        <f>RDG!J36</f>
        <v>1011988</v>
      </c>
    </row>
    <row r="155" spans="4:11" ht="12.75">
      <c r="D155" s="4" t="s">
        <v>541</v>
      </c>
      <c r="E155" s="4">
        <v>2</v>
      </c>
      <c r="F155" s="4">
        <f>RDG!G37</f>
        <v>154</v>
      </c>
      <c r="G155" s="4">
        <f>IF(RDG!H37=0,"",RDG!H37)</f>
      </c>
      <c r="H155" s="30">
        <f t="shared" si="6"/>
        <v>8915883.9</v>
      </c>
      <c r="I155" s="4">
        <f t="shared" si="7"/>
        <v>0</v>
      </c>
      <c r="J155" s="31">
        <f>RDG!I37</f>
        <v>3479163</v>
      </c>
      <c r="K155" s="31">
        <f>RDG!J37</f>
        <v>1155186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12</v>
      </c>
      <c r="H162" s="30">
        <f t="shared" si="6"/>
        <v>9296743.75</v>
      </c>
      <c r="I162" s="4">
        <f t="shared" si="7"/>
        <v>0</v>
      </c>
      <c r="J162" s="31">
        <f>RDG!I44</f>
        <v>3472941</v>
      </c>
      <c r="K162" s="31">
        <f>RDG!J44</f>
        <v>1150717</v>
      </c>
    </row>
    <row r="163" spans="4:11" ht="12.75">
      <c r="D163" s="4" t="s">
        <v>541</v>
      </c>
      <c r="E163" s="4">
        <v>2</v>
      </c>
      <c r="F163" s="4">
        <f>RDG!G45</f>
        <v>162</v>
      </c>
      <c r="G163" s="4" t="str">
        <f>IF(RDG!H45=0,"",RDG!H45)</f>
        <v>12</v>
      </c>
      <c r="H163" s="30">
        <f t="shared" si="6"/>
        <v>24559.199999999997</v>
      </c>
      <c r="I163" s="4">
        <f t="shared" si="7"/>
        <v>0</v>
      </c>
      <c r="J163" s="31">
        <f>RDG!I45</f>
        <v>6222</v>
      </c>
      <c r="K163" s="31">
        <f>RDG!J45</f>
        <v>4469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7919217.9</v>
      </c>
      <c r="I166" s="4">
        <f t="shared" si="7"/>
        <v>0</v>
      </c>
      <c r="J166" s="31">
        <f>RDG!I48</f>
        <v>1062936</v>
      </c>
      <c r="K166" s="31">
        <f>RDG!J48</f>
        <v>1868295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t="str">
        <f>IF(RDG!H52=0,"",RDG!H52)</f>
        <v>13</v>
      </c>
      <c r="H170" s="30">
        <f t="shared" si="6"/>
        <v>287590.68000000005</v>
      </c>
      <c r="I170" s="4">
        <f t="shared" si="7"/>
        <v>0</v>
      </c>
      <c r="J170" s="31">
        <f>RDG!I52</f>
        <v>62234</v>
      </c>
      <c r="K170" s="31">
        <f>RDG!J52</f>
        <v>53969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t="str">
        <f>IF(RDG!H55=0,"",RDG!H55)</f>
        <v>13</v>
      </c>
      <c r="H173" s="30">
        <f t="shared" si="6"/>
        <v>7962488.88</v>
      </c>
      <c r="I173" s="4">
        <f t="shared" si="7"/>
        <v>0</v>
      </c>
      <c r="J173" s="31">
        <f>RDG!I55</f>
        <v>1000702</v>
      </c>
      <c r="K173" s="31">
        <f>RDG!J55</f>
        <v>1814326</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442992136.11</v>
      </c>
      <c r="I178" s="4">
        <f t="shared" si="7"/>
        <v>0</v>
      </c>
      <c r="J178" s="31">
        <f>RDG!I60</f>
        <v>84848239</v>
      </c>
      <c r="K178" s="31">
        <f>RDG!J60</f>
        <v>82714902</v>
      </c>
    </row>
    <row r="179" spans="4:11" ht="12.75">
      <c r="D179" s="4" t="s">
        <v>541</v>
      </c>
      <c r="E179" s="4">
        <v>2</v>
      </c>
      <c r="F179" s="4">
        <f>RDG!G61</f>
        <v>178</v>
      </c>
      <c r="G179" s="4">
        <f>IF(RDG!H61=0,"",RDG!H61)</f>
      </c>
      <c r="H179" s="30">
        <f t="shared" si="6"/>
        <v>442727356.52</v>
      </c>
      <c r="I179" s="4">
        <f t="shared" si="7"/>
        <v>0</v>
      </c>
      <c r="J179" s="31">
        <f>RDG!I61</f>
        <v>84254616</v>
      </c>
      <c r="K179" s="31">
        <f>RDG!J61</f>
        <v>82234309</v>
      </c>
    </row>
    <row r="180" spans="4:11" ht="12.75">
      <c r="D180" s="4" t="s">
        <v>541</v>
      </c>
      <c r="E180" s="4">
        <v>2</v>
      </c>
      <c r="F180" s="4">
        <f>RDG!G62</f>
        <v>179</v>
      </c>
      <c r="G180" s="4" t="str">
        <f>IF(RDG!H62=0,"",RDG!H62)</f>
        <v>14</v>
      </c>
      <c r="H180" s="30">
        <f t="shared" si="6"/>
        <v>2783108.1100000003</v>
      </c>
      <c r="I180" s="4">
        <f t="shared" si="7"/>
        <v>0</v>
      </c>
      <c r="J180" s="31">
        <f>RDG!I62</f>
        <v>593623</v>
      </c>
      <c r="K180" s="31">
        <f>RDG!J62</f>
        <v>480593</v>
      </c>
    </row>
    <row r="181" spans="4:11" ht="12.75">
      <c r="D181" s="4" t="s">
        <v>541</v>
      </c>
      <c r="E181" s="4">
        <v>2</v>
      </c>
      <c r="F181" s="4">
        <f>RDG!G63</f>
        <v>180</v>
      </c>
      <c r="G181" s="4">
        <f>IF(RDG!H63=0,"",RDG!H63)</f>
      </c>
      <c r="H181" s="30">
        <f t="shared" si="6"/>
        <v>2798656.2</v>
      </c>
      <c r="I181" s="4">
        <f t="shared" si="7"/>
        <v>0</v>
      </c>
      <c r="J181" s="31">
        <f>RDG!I63</f>
        <v>593623</v>
      </c>
      <c r="K181" s="31">
        <f>RDG!J63</f>
        <v>480593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2594368.1399999997</v>
      </c>
      <c r="I183" s="4">
        <f t="shared" si="7"/>
        <v>0</v>
      </c>
      <c r="J183" s="31">
        <f>RDG!I65</f>
        <v>494797</v>
      </c>
      <c r="K183" s="31">
        <f>RDG!J65</f>
        <v>465340</v>
      </c>
    </row>
    <row r="184" spans="4:11" ht="12.75">
      <c r="D184" s="4" t="s">
        <v>541</v>
      </c>
      <c r="E184" s="4">
        <v>2</v>
      </c>
      <c r="F184" s="4">
        <f>RDG!G66</f>
        <v>183</v>
      </c>
      <c r="G184" s="4">
        <f>IF(RDG!H66=0,"",RDG!H66)</f>
      </c>
      <c r="H184" s="30">
        <f t="shared" si="6"/>
        <v>236677.56</v>
      </c>
      <c r="I184" s="4">
        <f t="shared" si="7"/>
        <v>0</v>
      </c>
      <c r="J184" s="31">
        <f>RDG!I66</f>
        <v>98826</v>
      </c>
      <c r="K184" s="31">
        <f>RDG!J66</f>
        <v>15253</v>
      </c>
    </row>
    <row r="185" spans="4:11" ht="12.75">
      <c r="D185" s="4" t="s">
        <v>541</v>
      </c>
      <c r="E185" s="4">
        <v>2</v>
      </c>
      <c r="F185" s="4">
        <f>RDG!G67</f>
        <v>184</v>
      </c>
      <c r="G185" s="4">
        <f>IF(RDG!H67=0,"",RDG!H67)</f>
      </c>
      <c r="H185" s="30">
        <f t="shared" si="6"/>
        <v>237970.88</v>
      </c>
      <c r="I185" s="4">
        <f t="shared" si="7"/>
        <v>0</v>
      </c>
      <c r="J185" s="31">
        <f>RDG!I67</f>
        <v>98826</v>
      </c>
      <c r="K185" s="31">
        <f>RDG!J67</f>
        <v>15253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261248.62</v>
      </c>
      <c r="I203" s="4">
        <f t="shared" si="9"/>
        <v>0</v>
      </c>
      <c r="J203" s="31">
        <f>RDG!I89</f>
        <v>98825</v>
      </c>
      <c r="K203" s="31">
        <f>RDG!J89</f>
        <v>15253</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276768.34</v>
      </c>
      <c r="I215" s="4">
        <f t="shared" si="9"/>
        <v>0</v>
      </c>
      <c r="J215" s="31">
        <f>RDG!I101</f>
        <v>98825</v>
      </c>
      <c r="K215" s="31">
        <f>RDG!J101</f>
        <v>15253</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t="str">
        <f>IF(NT_I!H9&lt;&gt;"",NT_I!H9,"")</f>
        <v>14</v>
      </c>
      <c r="H289" s="30">
        <f t="shared" si="14"/>
        <v>15548.080000000002</v>
      </c>
      <c r="I289" s="4">
        <f t="shared" si="15"/>
        <v>0</v>
      </c>
      <c r="J289" s="31">
        <f>NT_I!I9</f>
        <v>593622</v>
      </c>
      <c r="K289" s="31">
        <f>NT_I!J9</f>
        <v>480593</v>
      </c>
    </row>
    <row r="290" spans="4:11" ht="12.75">
      <c r="D290" s="4" t="s">
        <v>1523</v>
      </c>
      <c r="E290" s="4">
        <v>4</v>
      </c>
      <c r="F290" s="4">
        <f>NT_I!G10</f>
        <v>2</v>
      </c>
      <c r="G290" s="4">
        <f>IF(NT_I!H10&lt;&gt;"",NT_I!H10,"")</f>
      </c>
      <c r="H290" s="30">
        <f t="shared" si="14"/>
        <v>828869.22</v>
      </c>
      <c r="I290" s="4">
        <f t="shared" si="15"/>
        <v>0</v>
      </c>
      <c r="J290" s="31">
        <f>NT_I!I10</f>
        <v>20595449</v>
      </c>
      <c r="K290" s="31">
        <f>NT_I!J10</f>
        <v>10424006</v>
      </c>
    </row>
    <row r="291" spans="4:11" ht="12.75">
      <c r="D291" s="4" t="s">
        <v>1523</v>
      </c>
      <c r="E291" s="4">
        <v>4</v>
      </c>
      <c r="F291" s="4">
        <f>NT_I!G11</f>
        <v>3</v>
      </c>
      <c r="G291" s="4" t="str">
        <f>IF(NT_I!H11&lt;&gt;"",NT_I!H11,"")</f>
        <v>15</v>
      </c>
      <c r="H291" s="30">
        <f t="shared" si="14"/>
        <v>1474093.9500000002</v>
      </c>
      <c r="I291" s="4">
        <f t="shared" si="15"/>
        <v>0</v>
      </c>
      <c r="J291" s="31">
        <f>NT_I!I11</f>
        <v>15524769</v>
      </c>
      <c r="K291" s="31">
        <f>NT_I!J11</f>
        <v>16805848</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t="str">
        <f>IF(NT_I!H13&lt;&gt;"",NT_I!H13,"")</f>
        <v>16</v>
      </c>
      <c r="H293" s="30">
        <f t="shared" si="16"/>
        <v>231567.6</v>
      </c>
      <c r="I293" s="4">
        <f t="shared" si="17"/>
        <v>0</v>
      </c>
      <c r="J293" s="31">
        <f>NT_I!I13</f>
        <v>1002702</v>
      </c>
      <c r="K293" s="31">
        <f>NT_I!J13</f>
        <v>1814325</v>
      </c>
    </row>
    <row r="294" spans="4:11" ht="12.75">
      <c r="D294" s="4" t="s">
        <v>1523</v>
      </c>
      <c r="E294" s="4">
        <v>4</v>
      </c>
      <c r="F294" s="4">
        <f>NT_I!G14</f>
        <v>6</v>
      </c>
      <c r="G294" s="4" t="str">
        <f>IF(NT_I!H14&lt;&gt;"",NT_I!H14,"")</f>
        <v>12</v>
      </c>
      <c r="H294" s="30">
        <f t="shared" si="16"/>
        <v>-347372.1</v>
      </c>
      <c r="I294" s="4">
        <f t="shared" si="17"/>
        <v>0</v>
      </c>
      <c r="J294" s="31">
        <f>NT_I!I14</f>
        <v>-3479163</v>
      </c>
      <c r="K294" s="31">
        <f>NT_I!J14</f>
        <v>-1155186</v>
      </c>
    </row>
    <row r="295" spans="4:11" ht="12.75">
      <c r="D295" s="4" t="s">
        <v>1523</v>
      </c>
      <c r="E295" s="4">
        <v>4</v>
      </c>
      <c r="F295" s="4">
        <f>NT_I!G15</f>
        <v>7</v>
      </c>
      <c r="G295" s="4" t="str">
        <f>IF(NT_I!H15&lt;&gt;"",NT_I!H15,"")</f>
        <v>13</v>
      </c>
      <c r="H295" s="30">
        <f t="shared" si="16"/>
        <v>10326.400000000001</v>
      </c>
      <c r="I295" s="4">
        <f t="shared" si="17"/>
        <v>0</v>
      </c>
      <c r="J295" s="31">
        <f>NT_I!I15</f>
        <v>61150</v>
      </c>
      <c r="K295" s="31">
        <f>NT_I!J15</f>
        <v>43185</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-668234.1000000001</v>
      </c>
      <c r="I298" s="4">
        <f t="shared" si="17"/>
        <v>0</v>
      </c>
      <c r="J298" s="31">
        <f>NT_I!I18</f>
        <v>7485991</v>
      </c>
      <c r="K298" s="31">
        <f>NT_I!J18</f>
        <v>-7084166</v>
      </c>
    </row>
    <row r="299" spans="4:11" ht="12.75">
      <c r="D299" s="4" t="s">
        <v>1523</v>
      </c>
      <c r="E299" s="4">
        <v>4</v>
      </c>
      <c r="F299" s="4">
        <f>NT_I!G19</f>
        <v>11</v>
      </c>
      <c r="G299" s="4">
        <f>IF(NT_I!H19&lt;&gt;"",NT_I!H19,"")</f>
      </c>
      <c r="H299" s="30">
        <f t="shared" si="16"/>
        <v>4729809.59</v>
      </c>
      <c r="I299" s="4">
        <f t="shared" si="17"/>
        <v>0</v>
      </c>
      <c r="J299" s="31">
        <f>NT_I!I19</f>
        <v>21189071</v>
      </c>
      <c r="K299" s="31">
        <f>NT_I!J19</f>
        <v>10904599</v>
      </c>
    </row>
    <row r="300" spans="4:11" ht="12.75">
      <c r="D300" s="4" t="s">
        <v>1523</v>
      </c>
      <c r="E300" s="4">
        <v>4</v>
      </c>
      <c r="F300" s="4">
        <f>NT_I!G20</f>
        <v>12</v>
      </c>
      <c r="G300" s="4">
        <f>IF(NT_I!H20&lt;&gt;"",NT_I!H20,"")</f>
      </c>
      <c r="H300" s="30">
        <f t="shared" si="16"/>
        <v>-2100024.36</v>
      </c>
      <c r="I300" s="4">
        <f t="shared" si="17"/>
        <v>0</v>
      </c>
      <c r="J300" s="31">
        <f>NT_I!I20</f>
        <v>-11476421</v>
      </c>
      <c r="K300" s="31">
        <f>NT_I!J20</f>
        <v>-3011891</v>
      </c>
    </row>
    <row r="301" spans="4:11" ht="12.75">
      <c r="D301" s="4" t="s">
        <v>1523</v>
      </c>
      <c r="E301" s="4">
        <v>4</v>
      </c>
      <c r="F301" s="4">
        <f>NT_I!G21</f>
        <v>13</v>
      </c>
      <c r="G301" s="4" t="str">
        <f>IF(NT_I!H21&lt;&gt;"",NT_I!H21,"")</f>
        <v>24</v>
      </c>
      <c r="H301" s="30">
        <f t="shared" si="16"/>
        <v>-253615.04999999996</v>
      </c>
      <c r="I301" s="4">
        <f t="shared" si="17"/>
        <v>0</v>
      </c>
      <c r="J301" s="31">
        <f>NT_I!I21</f>
        <v>1968807</v>
      </c>
      <c r="K301" s="31">
        <f>NT_I!J21</f>
        <v>-1959846</v>
      </c>
    </row>
    <row r="302" spans="4:11" ht="12.75">
      <c r="D302" s="4" t="s">
        <v>1523</v>
      </c>
      <c r="E302" s="4">
        <v>4</v>
      </c>
      <c r="F302" s="4">
        <f>NT_I!G22</f>
        <v>14</v>
      </c>
      <c r="G302" s="4" t="str">
        <f>IF(NT_I!H22&lt;&gt;"",NT_I!H22,"")</f>
        <v>18</v>
      </c>
      <c r="H302" s="30">
        <f t="shared" si="16"/>
        <v>965591.62</v>
      </c>
      <c r="I302" s="4">
        <f t="shared" si="17"/>
        <v>0</v>
      </c>
      <c r="J302" s="31">
        <f>NT_I!I22</f>
        <v>5964101</v>
      </c>
      <c r="K302" s="31">
        <f>NT_I!J22</f>
        <v>466491</v>
      </c>
    </row>
    <row r="303" spans="4:11" ht="12.75">
      <c r="D303" s="4" t="s">
        <v>1523</v>
      </c>
      <c r="E303" s="4">
        <v>4</v>
      </c>
      <c r="F303" s="4">
        <f>NT_I!G23</f>
        <v>15</v>
      </c>
      <c r="G303" s="4" t="str">
        <f>IF(NT_I!H23&lt;&gt;"",NT_I!H23,"")</f>
        <v>17</v>
      </c>
      <c r="H303" s="30">
        <f t="shared" si="16"/>
        <v>-414253.95</v>
      </c>
      <c r="I303" s="4">
        <f t="shared" si="17"/>
        <v>0</v>
      </c>
      <c r="J303" s="31">
        <f>NT_I!I23</f>
        <v>-618873</v>
      </c>
      <c r="K303" s="31">
        <f>NT_I!J23</f>
        <v>-1071410</v>
      </c>
    </row>
    <row r="304" spans="4:11" ht="12.75">
      <c r="D304" s="4" t="s">
        <v>1523</v>
      </c>
      <c r="E304" s="4">
        <v>4</v>
      </c>
      <c r="F304" s="4">
        <f>NT_I!G24</f>
        <v>16</v>
      </c>
      <c r="G304" s="4">
        <f>IF(NT_I!H24&lt;&gt;"",NT_I!H24,"")</f>
      </c>
      <c r="H304" s="30">
        <f t="shared" si="16"/>
        <v>-3149553.28</v>
      </c>
      <c r="I304" s="4">
        <f t="shared" si="17"/>
        <v>0</v>
      </c>
      <c r="J304" s="31">
        <f>NT_I!I24</f>
        <v>-18790456</v>
      </c>
      <c r="K304" s="31">
        <f>NT_I!J24</f>
        <v>-447126</v>
      </c>
    </row>
    <row r="305" spans="4:11" ht="12.75">
      <c r="D305" s="4" t="s">
        <v>1523</v>
      </c>
      <c r="E305" s="4">
        <v>4</v>
      </c>
      <c r="F305" s="4">
        <f>NT_I!G25</f>
        <v>17</v>
      </c>
      <c r="G305" s="4">
        <f>IF(NT_I!H25&lt;&gt;"",NT_I!H25,"")</f>
      </c>
      <c r="H305" s="30">
        <f t="shared" si="16"/>
        <v>4334671.220000001</v>
      </c>
      <c r="I305" s="4">
        <f t="shared" si="17"/>
        <v>0</v>
      </c>
      <c r="J305" s="31">
        <f>NT_I!I25</f>
        <v>9712650</v>
      </c>
      <c r="K305" s="31">
        <f>NT_I!J25</f>
        <v>7892708</v>
      </c>
    </row>
    <row r="306" spans="4:11" ht="12.75">
      <c r="D306" s="4" t="s">
        <v>1523</v>
      </c>
      <c r="E306" s="4">
        <v>4</v>
      </c>
      <c r="F306" s="4">
        <f>NT_I!G26</f>
        <v>18</v>
      </c>
      <c r="G306" s="4" t="str">
        <f>IF(NT_I!H26&lt;&gt;"",NT_I!H26,"")</f>
        <v>13</v>
      </c>
      <c r="H306" s="30">
        <f t="shared" si="16"/>
        <v>-26553.6</v>
      </c>
      <c r="I306" s="4">
        <f t="shared" si="17"/>
        <v>0</v>
      </c>
      <c r="J306" s="31">
        <f>NT_I!I26</f>
        <v>-61150</v>
      </c>
      <c r="K306" s="31">
        <f>NT_I!J26</f>
        <v>-43185</v>
      </c>
    </row>
    <row r="307" spans="4:11" ht="12.75">
      <c r="D307" s="4" t="s">
        <v>1523</v>
      </c>
      <c r="E307" s="4">
        <v>4</v>
      </c>
      <c r="F307" s="4">
        <f>NT_I!G27</f>
        <v>19</v>
      </c>
      <c r="G307" s="4">
        <f>IF(NT_I!H27&lt;&gt;"",NT_I!H27,"")</f>
      </c>
      <c r="H307" s="30">
        <f t="shared" si="16"/>
        <v>-308967.74</v>
      </c>
      <c r="I307" s="4">
        <f t="shared" si="17"/>
        <v>0</v>
      </c>
      <c r="J307" s="31">
        <f>NT_I!I27</f>
        <v>-294124</v>
      </c>
      <c r="K307" s="31">
        <f>NT_I!J27</f>
        <v>-666011</v>
      </c>
    </row>
    <row r="308" spans="4:11" ht="12.75">
      <c r="D308" s="4" t="s">
        <v>1523</v>
      </c>
      <c r="E308" s="4">
        <v>4</v>
      </c>
      <c r="F308" s="4">
        <f>NT_I!G28</f>
        <v>20</v>
      </c>
      <c r="G308" s="4">
        <f>IF(NT_I!H28&lt;&gt;"",NT_I!H28,"")</f>
      </c>
      <c r="H308" s="30">
        <f t="shared" si="16"/>
        <v>4744880</v>
      </c>
      <c r="I308" s="4">
        <f t="shared" si="17"/>
        <v>0</v>
      </c>
      <c r="J308" s="31">
        <f>NT_I!I28</f>
        <v>9357376</v>
      </c>
      <c r="K308" s="31">
        <f>NT_I!J28</f>
        <v>7183512</v>
      </c>
    </row>
    <row r="309" spans="4:11" ht="12.75">
      <c r="D309" s="4" t="s">
        <v>1523</v>
      </c>
      <c r="E309" s="4">
        <v>4</v>
      </c>
      <c r="F309" s="4">
        <f>NT_I!G30</f>
        <v>21</v>
      </c>
      <c r="G309" s="4" t="str">
        <f>IF(NT_I!H30&lt;&gt;"",NT_I!H30,"")</f>
        <v>15</v>
      </c>
      <c r="H309" s="30">
        <f t="shared" si="16"/>
        <v>1581.0900000000001</v>
      </c>
      <c r="I309" s="4">
        <f t="shared" si="17"/>
        <v>0</v>
      </c>
      <c r="J309" s="31">
        <f>NT_I!I30</f>
        <v>7529</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t="str">
        <f>IF(NT_I!H35&lt;&gt;"",NT_I!H35,"")</f>
        <v>26</v>
      </c>
      <c r="H314" s="30">
        <f t="shared" si="16"/>
        <v>6115649.799999999</v>
      </c>
      <c r="I314" s="4">
        <f t="shared" si="17"/>
        <v>0</v>
      </c>
      <c r="J314" s="31">
        <f>NT_I!I35</f>
        <v>9257494</v>
      </c>
      <c r="K314" s="31">
        <f>NT_I!J35</f>
        <v>7132118</v>
      </c>
    </row>
    <row r="315" spans="4:11" ht="12.75">
      <c r="D315" s="4" t="s">
        <v>1523</v>
      </c>
      <c r="E315" s="4">
        <v>4</v>
      </c>
      <c r="F315" s="4">
        <f>NT_I!G36</f>
        <v>27</v>
      </c>
      <c r="G315" s="4">
        <f>IF(NT_I!H36&lt;&gt;"",NT_I!H36,"")</f>
      </c>
      <c r="H315" s="30">
        <f t="shared" si="16"/>
        <v>6352899.93</v>
      </c>
      <c r="I315" s="4">
        <f t="shared" si="17"/>
        <v>0</v>
      </c>
      <c r="J315" s="31">
        <f>NT_I!I36</f>
        <v>9265023</v>
      </c>
      <c r="K315" s="31">
        <f>NT_I!J36</f>
        <v>7132118</v>
      </c>
    </row>
    <row r="316" spans="4:11" ht="12.75">
      <c r="D316" s="4" t="s">
        <v>1523</v>
      </c>
      <c r="E316" s="4">
        <v>4</v>
      </c>
      <c r="F316" s="4">
        <f>NT_I!G37</f>
        <v>28</v>
      </c>
      <c r="G316" s="4" t="str">
        <f>IF(NT_I!H37&lt;&gt;"",NT_I!H37,"")</f>
        <v>15</v>
      </c>
      <c r="H316" s="30">
        <f t="shared" si="16"/>
        <v>-10650097.64</v>
      </c>
      <c r="I316" s="4">
        <f t="shared" si="17"/>
        <v>0</v>
      </c>
      <c r="J316" s="31">
        <f>NT_I!I37</f>
        <v>-13003027</v>
      </c>
      <c r="K316" s="31">
        <f>NT_I!J37</f>
        <v>-12516518</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-12551900.79</v>
      </c>
      <c r="I321" s="4">
        <f t="shared" si="17"/>
        <v>0</v>
      </c>
      <c r="J321" s="31">
        <f>NT_I!I42</f>
        <v>-13003027</v>
      </c>
      <c r="K321" s="31">
        <f>NT_I!J42</f>
        <v>-12516518</v>
      </c>
    </row>
    <row r="322" spans="4:11" ht="12.75">
      <c r="D322" s="4" t="s">
        <v>1523</v>
      </c>
      <c r="E322" s="4">
        <v>4</v>
      </c>
      <c r="F322" s="4">
        <f>NT_I!G43</f>
        <v>34</v>
      </c>
      <c r="G322" s="4">
        <f>IF(NT_I!H43&lt;&gt;"",NT_I!H43,"")</f>
      </c>
      <c r="H322" s="30">
        <f t="shared" si="16"/>
        <v>-4932313.36</v>
      </c>
      <c r="I322" s="4">
        <f t="shared" si="17"/>
        <v>0</v>
      </c>
      <c r="J322" s="31">
        <f>NT_I!I43</f>
        <v>-3738004</v>
      </c>
      <c r="K322" s="31">
        <f>NT_I!J43</f>
        <v>-5384400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t="str">
        <f>IF(NT_I!H48&lt;&gt;"",NT_I!H48,"")</f>
        <v>23</v>
      </c>
      <c r="H326" s="30">
        <f t="shared" si="16"/>
        <v>1072863.12</v>
      </c>
      <c r="I326" s="4">
        <f t="shared" si="17"/>
        <v>0</v>
      </c>
      <c r="J326" s="31">
        <f>NT_I!I48</f>
        <v>0</v>
      </c>
      <c r="K326" s="31">
        <f>NT_I!J48</f>
        <v>1411662</v>
      </c>
    </row>
    <row r="327" spans="4:11" ht="12.75">
      <c r="D327" s="4" t="s">
        <v>1523</v>
      </c>
      <c r="E327" s="4">
        <v>4</v>
      </c>
      <c r="F327" s="4">
        <f>NT_I!G49</f>
        <v>39</v>
      </c>
      <c r="G327" s="4">
        <f>IF(NT_I!H49&lt;&gt;"",NT_I!H49,"")</f>
      </c>
      <c r="H327" s="30">
        <f t="shared" si="16"/>
        <v>1101096.36</v>
      </c>
      <c r="I327" s="4">
        <f t="shared" si="17"/>
        <v>0</v>
      </c>
      <c r="J327" s="31">
        <f>NT_I!I49</f>
        <v>0</v>
      </c>
      <c r="K327" s="31">
        <f>NT_I!J49</f>
        <v>1411662</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t="str">
        <f>IF(NT_I!H52&lt;&gt;"",NT_I!H52,"")</f>
        <v>23</v>
      </c>
      <c r="H330" s="30">
        <f t="shared" si="16"/>
        <v>-763564.62</v>
      </c>
      <c r="I330" s="4">
        <f t="shared" si="17"/>
        <v>0</v>
      </c>
      <c r="J330" s="31">
        <f>NT_I!I52</f>
        <v>-246353</v>
      </c>
      <c r="K330" s="31">
        <f>NT_I!J52</f>
        <v>-785829</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-818104.95</v>
      </c>
      <c r="I333" s="4">
        <f t="shared" si="19"/>
        <v>0</v>
      </c>
      <c r="J333" s="31">
        <f>NT_I!I55</f>
        <v>-246353</v>
      </c>
      <c r="K333" s="31">
        <f>NT_I!J55</f>
        <v>-785829</v>
      </c>
    </row>
    <row r="334" spans="4:11" ht="12.75">
      <c r="D334" s="4" t="s">
        <v>1523</v>
      </c>
      <c r="E334" s="4">
        <v>4</v>
      </c>
      <c r="F334" s="4">
        <f>NT_I!G56</f>
        <v>46</v>
      </c>
      <c r="G334" s="4">
        <f>IF(NT_I!H56&lt;&gt;"",NT_I!H56,"")</f>
      </c>
      <c r="H334" s="30">
        <f t="shared" si="18"/>
        <v>462443.98</v>
      </c>
      <c r="I334" s="4">
        <f t="shared" si="19"/>
        <v>0</v>
      </c>
      <c r="J334" s="31">
        <f>NT_I!I56</f>
        <v>-246353</v>
      </c>
      <c r="K334" s="31">
        <f>NT_I!J56</f>
        <v>625833</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4906996.32</v>
      </c>
      <c r="I336" s="4">
        <f t="shared" si="19"/>
        <v>0</v>
      </c>
      <c r="J336" s="31">
        <f>NT_I!I58</f>
        <v>5373019</v>
      </c>
      <c r="K336" s="31">
        <f>NT_I!J58</f>
        <v>2424945</v>
      </c>
    </row>
    <row r="337" spans="4:11" ht="12.75">
      <c r="D337" s="4" t="s">
        <v>1523</v>
      </c>
      <c r="E337" s="4">
        <v>4</v>
      </c>
      <c r="F337" s="4">
        <f>NT_I!G59</f>
        <v>49</v>
      </c>
      <c r="G337" s="4" t="str">
        <f>IF(NT_I!H59&lt;&gt;"",NT_I!H59,"")</f>
        <v>21</v>
      </c>
      <c r="H337" s="30">
        <f t="shared" si="18"/>
        <v>17848045.67</v>
      </c>
      <c r="I337" s="4">
        <f t="shared" si="19"/>
        <v>0</v>
      </c>
      <c r="J337" s="31">
        <f>NT_I!I59</f>
        <v>8559515</v>
      </c>
      <c r="K337" s="31">
        <f>NT_I!J59</f>
        <v>13932534</v>
      </c>
    </row>
    <row r="338" spans="4:11" ht="12.75">
      <c r="D338" s="4" t="s">
        <v>1523</v>
      </c>
      <c r="E338" s="4">
        <v>4</v>
      </c>
      <c r="F338" s="4">
        <f>NT_I!G60</f>
        <v>50</v>
      </c>
      <c r="G338" s="4">
        <f>IF(NT_I!H60&lt;&gt;"",NT_I!H60,"")</f>
      </c>
      <c r="H338" s="30">
        <f t="shared" si="18"/>
        <v>23323746</v>
      </c>
      <c r="I338" s="4">
        <f t="shared" si="19"/>
        <v>0</v>
      </c>
      <c r="J338" s="31">
        <f>NT_I!I60</f>
        <v>13932534</v>
      </c>
      <c r="K338" s="31">
        <f>NT_I!J60</f>
        <v>16357479</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49555673.379999995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159483800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207001</v>
      </c>
      <c r="V381" s="31">
        <f>PK!U10</f>
        <v>66872</v>
      </c>
      <c r="W381" s="31">
        <f>PK!V10</f>
        <v>159757673</v>
      </c>
      <c r="X381" s="31">
        <f>PK!W10</f>
        <v>0</v>
      </c>
      <c r="Y381" s="31">
        <f>PK!X10</f>
        <v>159757673</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54340187.379999995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159483800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207001</v>
      </c>
      <c r="V384" s="31">
        <f>PK!U13</f>
        <v>66872</v>
      </c>
      <c r="W384" s="31">
        <f>PK!V13</f>
        <v>159757673</v>
      </c>
      <c r="X384" s="31">
        <f>PK!W13</f>
        <v>0</v>
      </c>
      <c r="Y384" s="31">
        <f>PK!X13</f>
        <v>159757673</v>
      </c>
    </row>
    <row r="385" spans="4:25" ht="12.75">
      <c r="D385" s="4" t="s">
        <v>542</v>
      </c>
      <c r="E385" s="4">
        <v>6</v>
      </c>
      <c r="F385" s="4">
        <f>PK!G14</f>
        <v>5</v>
      </c>
      <c r="G385" s="4">
        <f>IF(PK!H14&lt;&gt;"",PK!H14,"")</f>
      </c>
      <c r="H385" s="30">
        <f t="shared" si="22"/>
        <v>42494.75</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98825</v>
      </c>
      <c r="W385" s="31">
        <f>PK!V14</f>
        <v>98825</v>
      </c>
      <c r="X385" s="31">
        <f>PK!W14</f>
        <v>0</v>
      </c>
      <c r="Y385" s="31">
        <f>PK!X14</f>
        <v>98825</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-668.7200000000003</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66872</v>
      </c>
      <c r="V401" s="31">
        <f>PK!U30</f>
        <v>-66872</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84683935.41</v>
      </c>
      <c r="I403" s="31">
        <f t="shared" si="23"/>
        <v>0</v>
      </c>
      <c r="J403" s="31">
        <f>PK!I32</f>
        <v>159483800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273873</v>
      </c>
      <c r="V403" s="31">
        <f>PK!U32</f>
        <v>98825</v>
      </c>
      <c r="W403" s="31">
        <f>PK!V32</f>
        <v>159856498</v>
      </c>
      <c r="X403" s="31">
        <f>PK!W32</f>
        <v>0</v>
      </c>
      <c r="Y403" s="31">
        <f>PK!X32</f>
        <v>159856498</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42494.75</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98825</v>
      </c>
      <c r="W405" s="31">
        <f>PK!V35</f>
        <v>98825</v>
      </c>
      <c r="X405" s="31">
        <f>PK!W35</f>
        <v>0</v>
      </c>
      <c r="Y405" s="31">
        <f>PK!X35</f>
        <v>98825</v>
      </c>
    </row>
    <row r="406" spans="4:25" ht="12.75">
      <c r="D406" s="4" t="s">
        <v>542</v>
      </c>
      <c r="E406" s="4">
        <v>6</v>
      </c>
      <c r="F406" s="4">
        <f>PK!G36</f>
        <v>26</v>
      </c>
      <c r="G406" s="4">
        <f>IF(PK!H36&lt;&gt;"",PK!H36,"")</f>
      </c>
      <c r="H406" s="30">
        <f t="shared" si="22"/>
        <v>-668.7200000000003</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66872</v>
      </c>
      <c r="V406" s="31">
        <f>PK!U36</f>
        <v>-66872</v>
      </c>
      <c r="W406" s="31">
        <f>PK!V36</f>
        <v>0</v>
      </c>
      <c r="X406" s="31">
        <f>PK!W36</f>
        <v>0</v>
      </c>
      <c r="Y406" s="31">
        <f>PK!X36</f>
        <v>0</v>
      </c>
    </row>
    <row r="407" spans="4:25" ht="12.75">
      <c r="D407" s="4" t="s">
        <v>542</v>
      </c>
      <c r="E407" s="4">
        <v>6</v>
      </c>
      <c r="F407" s="4">
        <f>PK!G38</f>
        <v>27</v>
      </c>
      <c r="G407" s="4">
        <f>IF(PK!H38&lt;&gt;"",PK!H38,"")</f>
      </c>
      <c r="H407" s="30">
        <f t="shared" si="22"/>
        <v>91063287.83</v>
      </c>
      <c r="I407" s="31">
        <f t="shared" si="23"/>
        <v>0</v>
      </c>
      <c r="J407" s="31">
        <f>PK!I38</f>
        <v>159483800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273874</v>
      </c>
      <c r="V407" s="31">
        <f>PK!U38</f>
        <v>98825</v>
      </c>
      <c r="W407" s="31">
        <f>PK!V38</f>
        <v>159856499</v>
      </c>
      <c r="X407" s="31">
        <f>PK!W38</f>
        <v>0</v>
      </c>
      <c r="Y407" s="31">
        <f>PK!X38</f>
        <v>159856499</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95847801.83000001</v>
      </c>
      <c r="I410" s="31">
        <f t="shared" si="23"/>
        <v>0</v>
      </c>
      <c r="J410" s="31">
        <f>PK!I41</f>
        <v>159483800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273874</v>
      </c>
      <c r="V410" s="31">
        <f>PK!U41</f>
        <v>98825</v>
      </c>
      <c r="W410" s="31">
        <f>PK!V41</f>
        <v>159856499</v>
      </c>
      <c r="X410" s="31">
        <f>PK!W41</f>
        <v>0</v>
      </c>
      <c r="Y410" s="31">
        <f>PK!X41</f>
        <v>159856499</v>
      </c>
    </row>
    <row r="411" spans="4:25" ht="12.75">
      <c r="D411" s="4" t="s">
        <v>542</v>
      </c>
      <c r="E411" s="4">
        <v>6</v>
      </c>
      <c r="F411" s="4">
        <f>PK!G42</f>
        <v>31</v>
      </c>
      <c r="G411" s="4">
        <f>IF(PK!H42&lt;&gt;"",PK!H42,"")</f>
      </c>
      <c r="H411" s="30">
        <f t="shared" si="22"/>
        <v>6558.790000000001</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15253</v>
      </c>
      <c r="W411" s="31">
        <f>PK!V42</f>
        <v>15253</v>
      </c>
      <c r="X411" s="31">
        <f>PK!W42</f>
        <v>0</v>
      </c>
      <c r="Y411" s="31">
        <f>PK!X42</f>
        <v>15253</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-988.25</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98825</v>
      </c>
      <c r="V427" s="31">
        <f>PK!U58</f>
        <v>-98825</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126155294.37</v>
      </c>
      <c r="I429" s="31">
        <f t="shared" si="23"/>
        <v>0</v>
      </c>
      <c r="J429" s="31">
        <f>PK!I60</f>
        <v>159483800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372699</v>
      </c>
      <c r="V429" s="31">
        <f>PK!U60</f>
        <v>15253</v>
      </c>
      <c r="W429" s="31">
        <f>PK!V60</f>
        <v>159871752</v>
      </c>
      <c r="X429" s="31">
        <f>PK!W60</f>
        <v>0</v>
      </c>
      <c r="Y429" s="31">
        <f>PK!X60</f>
        <v>159871752</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6558.790000000001</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15253</v>
      </c>
      <c r="W431" s="31">
        <f>PK!V63</f>
        <v>15253</v>
      </c>
      <c r="X431" s="31">
        <f>PK!W63</f>
        <v>0</v>
      </c>
      <c r="Y431" s="31">
        <f>PK!X63</f>
        <v>15253</v>
      </c>
    </row>
    <row r="432" spans="4:25" ht="12.75">
      <c r="D432" s="4" t="s">
        <v>542</v>
      </c>
      <c r="E432" s="4">
        <v>6</v>
      </c>
      <c r="F432" s="4">
        <f>PK!G64</f>
        <v>52</v>
      </c>
      <c r="G432" s="4">
        <f>IF(PK!H64&lt;&gt;"",PK!H64,"")</f>
      </c>
      <c r="H432" s="30">
        <f t="shared" si="22"/>
        <v>-988.25</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98825</v>
      </c>
      <c r="V432" s="31">
        <f>PK!U64</f>
        <v>-98825</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1" activePane="bottomLeft" state="frozen"/>
      <selection pane="topLeft" activeCell="A2" sqref="A2"/>
      <selection pane="bottomLeft" activeCell="C115" sqref="C115:J115"/>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VODOVOD D.O.O.</v>
      </c>
      <c r="X2" s="209" t="s">
        <v>207</v>
      </c>
      <c r="Y2" s="231">
        <f>IF(RefStr!C54&lt;&gt;"",RefStr!C54,"")</f>
        <v>100</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4</v>
      </c>
      <c r="T3" s="211" t="s">
        <v>777</v>
      </c>
      <c r="U3" s="232" t="str">
        <f>RefStr!L21</f>
        <v>98910718267</v>
      </c>
      <c r="V3" s="211" t="s">
        <v>2354</v>
      </c>
      <c r="W3" s="232">
        <f>RefStr!C31</f>
        <v>23000</v>
      </c>
      <c r="X3" s="211" t="s">
        <v>208</v>
      </c>
      <c r="Y3" s="232">
        <f>IF(RefStr!F54&lt;&gt;"",RefStr!F54,"")</f>
        <v>0</v>
      </c>
      <c r="Z3" s="211" t="s">
        <v>2326</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89406825003</v>
      </c>
      <c r="V4" s="211" t="s">
        <v>2355</v>
      </c>
      <c r="W4" s="232" t="str">
        <f>RefStr!F31</f>
        <v>ZADAR</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2351</v>
      </c>
      <c r="U5" s="232" t="str">
        <f>RefStr!H27</f>
        <v>03410153</v>
      </c>
      <c r="V5" s="211" t="s">
        <v>2356</v>
      </c>
      <c r="W5" s="232" t="str">
        <f>RefStr!C33</f>
        <v>ŠPIRE BRUSINE 17</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060083654</v>
      </c>
      <c r="V6" s="211" t="s">
        <v>2567</v>
      </c>
      <c r="W6" s="232" t="str">
        <f>RefStr!L35</f>
        <v>023 282 902</v>
      </c>
      <c r="X6" s="211" t="s">
        <v>2513</v>
      </c>
      <c r="Y6" s="232" t="str">
        <f>RefStr!C68</f>
        <v>KLAUDIA STULIĆ, IVA BRKIĆ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1</v>
      </c>
      <c r="V7" s="211" t="s">
        <v>1193</v>
      </c>
      <c r="W7" s="232" t="str">
        <f>TRIM(UPPER(RefStr!C35))</f>
        <v>VODOVOD1@VODOVOD-ZADAR.HR</v>
      </c>
      <c r="X7" s="211" t="s">
        <v>2514</v>
      </c>
      <c r="Y7" s="232" t="str">
        <f>RefStr!C70</f>
        <v>023 282 926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Javno trgovačko društvo</v>
      </c>
      <c r="V8" s="211" t="s">
        <v>2573</v>
      </c>
      <c r="W8" s="232" t="str">
        <f>RefStr!C42</f>
        <v>3600</v>
      </c>
      <c r="X8" s="211" t="s">
        <v>2515</v>
      </c>
      <c r="Y8" s="232" t="str">
        <f>TRIM(UPPER(RefStr!C72))</f>
        <v>KLAUDIA.STULIC@VODOVOD-ZADAR.HR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238</v>
      </c>
      <c r="Q9" s="231">
        <f>RefStr!F58</f>
        <v>232</v>
      </c>
      <c r="R9" s="211" t="s">
        <v>1860</v>
      </c>
      <c r="S9" s="232">
        <f>IF(RefStr!F4&lt;&gt;"",RefStr!F4,0)</f>
        <v>43465</v>
      </c>
      <c r="T9" s="211" t="s">
        <v>1821</v>
      </c>
      <c r="U9" s="232">
        <f>RefStr!C39</f>
        <v>520</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294</v>
      </c>
      <c r="Q10" s="233">
        <f>RefStr!F56</f>
        <v>290</v>
      </c>
      <c r="R10" s="213" t="s">
        <v>1863</v>
      </c>
      <c r="S10" s="233">
        <f>RefStr!C23</f>
        <v>1</v>
      </c>
      <c r="T10" s="213" t="s">
        <v>2572</v>
      </c>
      <c r="U10" s="233" t="str">
        <f>RefStr!D39</f>
        <v>Zadar</v>
      </c>
      <c r="V10" s="240"/>
      <c r="W10" s="241"/>
      <c r="X10" s="242" t="s">
        <v>1974</v>
      </c>
      <c r="Y10" s="243">
        <f>RefStr!F12</f>
        <v>2018</v>
      </c>
      <c r="Z10" s="213" t="s">
        <v>209</v>
      </c>
      <c r="AA10" s="233" t="str">
        <f>RefStr!A75</f>
        <v>TOMISLAV MATEK, dipl. ing. građ.</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7"/>
      <c r="E50" s="487"/>
      <c r="F50" s="487"/>
      <c r="G50" s="487"/>
      <c r="H50" s="487"/>
      <c r="I50" s="487"/>
      <c r="J50" s="487"/>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C:\Users\kstulic\Desktop\[GFI-POD Godišnji financijski izvještaj za 2018.xls]Bilanca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B9" sqref="B9:J9"/>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0"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2018</v>
      </c>
      <c r="G12" s="349"/>
      <c r="H12" s="341" t="s">
        <v>2105</v>
      </c>
      <c r="I12" s="342"/>
      <c r="J12" s="342"/>
      <c r="K12" s="156"/>
      <c r="L12" s="156"/>
      <c r="M12" s="156"/>
      <c r="N12" s="156"/>
      <c r="P12" s="54" t="s">
        <v>2352</v>
      </c>
      <c r="Q12" s="55">
        <f>INT(VALUE(H27))/10</f>
        <v>341015.3</v>
      </c>
    </row>
    <row r="13" spans="4:17" ht="9.75" customHeight="1">
      <c r="D13" s="156"/>
      <c r="E13" s="162"/>
      <c r="H13" s="27"/>
      <c r="I13" s="163"/>
      <c r="J13" s="163"/>
      <c r="K13" s="156"/>
      <c r="L13" s="156"/>
      <c r="M13" s="156"/>
      <c r="N13" s="156"/>
      <c r="P13" s="54" t="s">
        <v>2352</v>
      </c>
      <c r="Q13" s="55">
        <f>INT(VALUE(M27))/50</f>
        <v>1201673.08</v>
      </c>
    </row>
    <row r="14" spans="1:17" ht="15">
      <c r="A14" s="340" t="s">
        <v>2713</v>
      </c>
      <c r="B14" s="340"/>
      <c r="C14" s="340"/>
      <c r="D14" s="164"/>
      <c r="E14" s="165"/>
      <c r="F14" s="338"/>
      <c r="G14" s="339"/>
      <c r="H14" s="339"/>
      <c r="I14" s="156"/>
      <c r="J14" s="346" t="s">
        <v>2100</v>
      </c>
      <c r="K14" s="347"/>
      <c r="L14" s="347"/>
      <c r="M14" s="347"/>
      <c r="N14" s="347"/>
      <c r="P14" s="54" t="s">
        <v>2717</v>
      </c>
      <c r="Q14" s="55">
        <f>INT(VALUE(C27))/100</f>
        <v>894068250.03</v>
      </c>
    </row>
    <row r="15" spans="1:17" ht="19.5" customHeight="1">
      <c r="A15" s="343">
        <f>Skriveni!B59</f>
        <v>10819608113.020004</v>
      </c>
      <c r="B15" s="344"/>
      <c r="C15" s="345"/>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230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2952</v>
      </c>
      <c r="P19" s="54" t="s">
        <v>1820</v>
      </c>
      <c r="Q19" s="55">
        <f>LEN(Skriveni!B12)</f>
        <v>16</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2138</v>
      </c>
      <c r="J21" s="283" t="s">
        <v>2110</v>
      </c>
      <c r="K21" s="279"/>
      <c r="L21" s="284" t="s">
        <v>2966</v>
      </c>
      <c r="M21" s="285"/>
      <c r="N21" s="286"/>
      <c r="P21" s="54" t="s">
        <v>1821</v>
      </c>
      <c r="Q21" s="55">
        <f>INT(VALUE(C39))</f>
        <v>520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2405</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23000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520</v>
      </c>
      <c r="D39" s="326" t="str">
        <f>IF(C39="","Šifra grada/općine nije upisana",IF(ISNA(LOOKUP(C39,A177:A732,A177:A732)),"Šifra grada/općine ne postoji",IF(LOOKUP(C39,A177:A732,A177:A732)&lt;&gt;C39,"Šifra grada/općine ne postoji",LOOKUP(C39,A177:A732,B177:B732))))</f>
        <v>Zadar</v>
      </c>
      <c r="E39" s="327"/>
      <c r="F39" s="327"/>
      <c r="G39" s="327"/>
      <c r="H39" s="314" t="s">
        <v>2221</v>
      </c>
      <c r="I39" s="292"/>
      <c r="J39" s="58">
        <f>IF(C39&gt;0,LOOKUP(C39,A177:A732,C177:C732),"")</f>
        <v>13</v>
      </c>
      <c r="K39" s="315" t="str">
        <f>IF(J39="","Treba prvo upisati šifru grada/općine",LOOKUP(J39,A153:A173,B153:B173))</f>
        <v>ZADARSKA</v>
      </c>
      <c r="L39" s="315"/>
      <c r="M39" s="315"/>
      <c r="N39" s="315"/>
      <c r="P39" s="54" t="s">
        <v>1826</v>
      </c>
      <c r="Q39" s="55">
        <f>C56+2*F56+3*C58+4*F58</f>
        <v>2516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32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989107182.67</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4</v>
      </c>
      <c r="D50" s="270" t="str">
        <f>IF(C50="","Oznaka veličine nije upisana",IF(ISNA(LOOKUP(C50,A124:A127,A124:A127)),"Nepostojeća oznaka veličine",IF(LOOKUP(C50,A124:A127,A124:A127)&lt;&gt;C50,"Nepostojeća oznaka veličine",LOOKUP(C50,A124:A127,B124:B127))))</f>
        <v>Veliki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2568</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294</v>
      </c>
      <c r="D56" s="272" t="s">
        <v>2897</v>
      </c>
      <c r="E56" s="273"/>
      <c r="F56" s="44">
        <v>290</v>
      </c>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238</v>
      </c>
      <c r="D58" s="309" t="s">
        <v>2897</v>
      </c>
      <c r="E58" s="309"/>
      <c r="F58" s="44">
        <v>232</v>
      </c>
      <c r="G58" s="309" t="s">
        <v>2898</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0" t="s">
        <v>2116</v>
      </c>
      <c r="D64" s="302"/>
      <c r="E64" s="302"/>
      <c r="F64" s="302"/>
      <c r="G64" s="156"/>
      <c r="H64" s="156"/>
      <c r="I64" s="226" t="s">
        <v>2138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56" activePane="bottomLeft" state="frozen"/>
      <selection pane="topLeft" activeCell="A1" sqref="A1"/>
      <selection pane="bottomLeft" activeCell="J71" sqref="J7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505933245</v>
      </c>
      <c r="J10" s="70">
        <f>J11+J18+J28+J39+J44</f>
        <v>502055453</v>
      </c>
    </row>
    <row r="11" spans="1:10" ht="13.5" customHeight="1">
      <c r="A11" s="382" t="s">
        <v>1850</v>
      </c>
      <c r="B11" s="382"/>
      <c r="C11" s="382"/>
      <c r="D11" s="382"/>
      <c r="E11" s="382"/>
      <c r="F11" s="382"/>
      <c r="G11" s="19">
        <v>3</v>
      </c>
      <c r="H11" s="20"/>
      <c r="I11" s="70">
        <f>SUM(I12:I17)</f>
        <v>0</v>
      </c>
      <c r="J11" s="70">
        <f>SUM(J12:J17)</f>
        <v>589632</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v>589632</v>
      </c>
    </row>
    <row r="18" spans="1:10" ht="13.5" customHeight="1">
      <c r="A18" s="382" t="s">
        <v>731</v>
      </c>
      <c r="B18" s="382"/>
      <c r="C18" s="382"/>
      <c r="D18" s="382"/>
      <c r="E18" s="382"/>
      <c r="F18" s="382"/>
      <c r="G18" s="19">
        <v>10</v>
      </c>
      <c r="H18" s="20" t="s">
        <v>2968</v>
      </c>
      <c r="I18" s="70">
        <f>SUM(I19:I27)</f>
        <v>493513820</v>
      </c>
      <c r="J18" s="70">
        <f>SUM(J19:J27)</f>
        <v>491776954</v>
      </c>
    </row>
    <row r="19" spans="1:10" ht="13.5" customHeight="1">
      <c r="A19" s="381" t="s">
        <v>2175</v>
      </c>
      <c r="B19" s="381"/>
      <c r="C19" s="381"/>
      <c r="D19" s="381"/>
      <c r="E19" s="381"/>
      <c r="F19" s="381"/>
      <c r="G19" s="19">
        <v>11</v>
      </c>
      <c r="H19" s="20"/>
      <c r="I19" s="71">
        <v>48830245</v>
      </c>
      <c r="J19" s="71">
        <v>48830245</v>
      </c>
    </row>
    <row r="20" spans="1:10" ht="13.5" customHeight="1">
      <c r="A20" s="381" t="s">
        <v>543</v>
      </c>
      <c r="B20" s="381"/>
      <c r="C20" s="381"/>
      <c r="D20" s="381"/>
      <c r="E20" s="381"/>
      <c r="F20" s="381"/>
      <c r="G20" s="19">
        <v>12</v>
      </c>
      <c r="H20" s="20"/>
      <c r="I20" s="71">
        <v>414437142</v>
      </c>
      <c r="J20" s="71">
        <v>413320453</v>
      </c>
    </row>
    <row r="21" spans="1:10" ht="13.5" customHeight="1">
      <c r="A21" s="381" t="s">
        <v>2176</v>
      </c>
      <c r="B21" s="381"/>
      <c r="C21" s="381"/>
      <c r="D21" s="381"/>
      <c r="E21" s="381"/>
      <c r="F21" s="381"/>
      <c r="G21" s="19">
        <v>13</v>
      </c>
      <c r="H21" s="20"/>
      <c r="I21" s="71">
        <v>15458983</v>
      </c>
      <c r="J21" s="71">
        <v>18700767</v>
      </c>
    </row>
    <row r="22" spans="1:10" ht="13.5" customHeight="1">
      <c r="A22" s="381" t="s">
        <v>2289</v>
      </c>
      <c r="B22" s="381"/>
      <c r="C22" s="381"/>
      <c r="D22" s="381"/>
      <c r="E22" s="381"/>
      <c r="F22" s="381"/>
      <c r="G22" s="19">
        <v>14</v>
      </c>
      <c r="H22" s="20"/>
      <c r="I22" s="71">
        <v>655176</v>
      </c>
      <c r="J22" s="71">
        <v>1422402</v>
      </c>
    </row>
    <row r="23" spans="1:10" ht="13.5" customHeight="1">
      <c r="A23" s="381" t="s">
        <v>2290</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2968</v>
      </c>
      <c r="I25" s="71">
        <v>14132274</v>
      </c>
      <c r="J25" s="71">
        <v>9503087</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2643</v>
      </c>
      <c r="B28" s="382"/>
      <c r="C28" s="382"/>
      <c r="D28" s="382"/>
      <c r="E28" s="382"/>
      <c r="F28" s="382"/>
      <c r="G28" s="19">
        <v>20</v>
      </c>
      <c r="H28" s="20" t="s">
        <v>2969</v>
      </c>
      <c r="I28" s="70">
        <f>SUM(I29:I38)</f>
        <v>2222053</v>
      </c>
      <c r="J28" s="70">
        <f>SUM(J29:J38)</f>
        <v>407728</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t="s">
        <v>2969</v>
      </c>
      <c r="I35" s="71">
        <v>2222053</v>
      </c>
      <c r="J35" s="71">
        <v>407728</v>
      </c>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2644</v>
      </c>
      <c r="B39" s="382"/>
      <c r="C39" s="382"/>
      <c r="D39" s="382"/>
      <c r="E39" s="382"/>
      <c r="F39" s="382"/>
      <c r="G39" s="19">
        <v>31</v>
      </c>
      <c r="H39" s="20" t="s">
        <v>2973</v>
      </c>
      <c r="I39" s="70">
        <f>SUM(I40:I43)</f>
        <v>10197372</v>
      </c>
      <c r="J39" s="70">
        <f>SUM(J40:J43)</f>
        <v>9281139</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t="s">
        <v>2973</v>
      </c>
      <c r="I42" s="71">
        <v>10197372</v>
      </c>
      <c r="J42" s="71">
        <v>9281139</v>
      </c>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2645</v>
      </c>
      <c r="B45" s="383"/>
      <c r="C45" s="383"/>
      <c r="D45" s="383"/>
      <c r="E45" s="383"/>
      <c r="F45" s="383"/>
      <c r="G45" s="19">
        <v>37</v>
      </c>
      <c r="H45" s="20"/>
      <c r="I45" s="70">
        <f>I46+I54+I61+I71</f>
        <v>58981318</v>
      </c>
      <c r="J45" s="70">
        <f>J46+J54+J61+J71</f>
        <v>56898790</v>
      </c>
    </row>
    <row r="46" spans="1:10" ht="13.5" customHeight="1">
      <c r="A46" s="382" t="s">
        <v>2646</v>
      </c>
      <c r="B46" s="382"/>
      <c r="C46" s="382"/>
      <c r="D46" s="382"/>
      <c r="E46" s="382"/>
      <c r="F46" s="382"/>
      <c r="G46" s="19">
        <v>38</v>
      </c>
      <c r="H46" s="20" t="s">
        <v>2974</v>
      </c>
      <c r="I46" s="70">
        <f>SUM(I47:I53)</f>
        <v>6205926</v>
      </c>
      <c r="J46" s="70">
        <f>SUM(J47:J53)</f>
        <v>7277336</v>
      </c>
    </row>
    <row r="47" spans="1:10" ht="13.5" customHeight="1">
      <c r="A47" s="381" t="s">
        <v>970</v>
      </c>
      <c r="B47" s="381"/>
      <c r="C47" s="381"/>
      <c r="D47" s="381"/>
      <c r="E47" s="381"/>
      <c r="F47" s="381"/>
      <c r="G47" s="19">
        <v>39</v>
      </c>
      <c r="H47" s="20" t="s">
        <v>2974</v>
      </c>
      <c r="I47" s="71">
        <v>6197595</v>
      </c>
      <c r="J47" s="71">
        <v>7277336</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t="s">
        <v>2974</v>
      </c>
      <c r="I51" s="71">
        <v>8331</v>
      </c>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2647</v>
      </c>
      <c r="B54" s="382"/>
      <c r="C54" s="382"/>
      <c r="D54" s="382"/>
      <c r="E54" s="382"/>
      <c r="F54" s="382"/>
      <c r="G54" s="19">
        <v>46</v>
      </c>
      <c r="H54" s="20"/>
      <c r="I54" s="70">
        <f>SUM(I55:I60)</f>
        <v>33842858</v>
      </c>
      <c r="J54" s="70">
        <f>SUM(J55:J60)</f>
        <v>28263975</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2635</v>
      </c>
      <c r="B57" s="381"/>
      <c r="C57" s="381"/>
      <c r="D57" s="381"/>
      <c r="E57" s="381"/>
      <c r="F57" s="381"/>
      <c r="G57" s="19">
        <v>49</v>
      </c>
      <c r="H57" s="20" t="s">
        <v>2973</v>
      </c>
      <c r="I57" s="71">
        <v>30859282</v>
      </c>
      <c r="J57" s="71">
        <v>25921814</v>
      </c>
    </row>
    <row r="58" spans="1:10" ht="13.5" customHeight="1">
      <c r="A58" s="381" t="s">
        <v>350</v>
      </c>
      <c r="B58" s="381"/>
      <c r="C58" s="381"/>
      <c r="D58" s="381"/>
      <c r="E58" s="381"/>
      <c r="F58" s="381"/>
      <c r="G58" s="19">
        <v>50</v>
      </c>
      <c r="H58" s="20" t="s">
        <v>2978</v>
      </c>
      <c r="I58" s="71">
        <v>108219</v>
      </c>
      <c r="J58" s="71">
        <v>98161</v>
      </c>
    </row>
    <row r="59" spans="1:10" ht="13.5" customHeight="1">
      <c r="A59" s="381" t="s">
        <v>351</v>
      </c>
      <c r="B59" s="381"/>
      <c r="C59" s="381"/>
      <c r="D59" s="381"/>
      <c r="E59" s="381"/>
      <c r="F59" s="381"/>
      <c r="G59" s="19">
        <v>51</v>
      </c>
      <c r="H59" s="20" t="s">
        <v>2978</v>
      </c>
      <c r="I59" s="71">
        <v>60396</v>
      </c>
      <c r="J59" s="71">
        <v>96622</v>
      </c>
    </row>
    <row r="60" spans="1:10" ht="13.5" customHeight="1">
      <c r="A60" s="381" t="s">
        <v>2637</v>
      </c>
      <c r="B60" s="381"/>
      <c r="C60" s="381"/>
      <c r="D60" s="381"/>
      <c r="E60" s="381"/>
      <c r="F60" s="381"/>
      <c r="G60" s="19">
        <v>52</v>
      </c>
      <c r="H60" s="20" t="s">
        <v>2978</v>
      </c>
      <c r="I60" s="71">
        <v>2814961</v>
      </c>
      <c r="J60" s="71">
        <v>2147378</v>
      </c>
    </row>
    <row r="61" spans="1:10" ht="13.5" customHeight="1">
      <c r="A61" s="382" t="s">
        <v>2648</v>
      </c>
      <c r="B61" s="382"/>
      <c r="C61" s="382"/>
      <c r="D61" s="382"/>
      <c r="E61" s="382"/>
      <c r="F61" s="382"/>
      <c r="G61" s="19">
        <v>53</v>
      </c>
      <c r="H61" s="20"/>
      <c r="I61" s="70">
        <f>SUM(I62:I70)</f>
        <v>5000000</v>
      </c>
      <c r="J61" s="70">
        <f>SUM(J62:J70)</f>
        <v>5000000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t="s">
        <v>2980</v>
      </c>
      <c r="I69" s="71">
        <v>5000000</v>
      </c>
      <c r="J69" s="71">
        <v>5000000</v>
      </c>
    </row>
    <row r="70" spans="1:10" ht="13.5" customHeight="1">
      <c r="A70" s="381" t="s">
        <v>1038</v>
      </c>
      <c r="B70" s="381"/>
      <c r="C70" s="381"/>
      <c r="D70" s="381"/>
      <c r="E70" s="381"/>
      <c r="F70" s="381"/>
      <c r="G70" s="19">
        <v>62</v>
      </c>
      <c r="H70" s="20"/>
      <c r="I70" s="71"/>
      <c r="J70" s="71"/>
    </row>
    <row r="71" spans="1:10" ht="13.5" customHeight="1">
      <c r="A71" s="382" t="s">
        <v>2394</v>
      </c>
      <c r="B71" s="382"/>
      <c r="C71" s="382"/>
      <c r="D71" s="382"/>
      <c r="E71" s="382"/>
      <c r="F71" s="382"/>
      <c r="G71" s="19">
        <v>63</v>
      </c>
      <c r="H71" s="20" t="s">
        <v>2977</v>
      </c>
      <c r="I71" s="71">
        <v>13932534</v>
      </c>
      <c r="J71" s="71">
        <v>16357479</v>
      </c>
    </row>
    <row r="72" spans="1:10" ht="24.75" customHeight="1">
      <c r="A72" s="383" t="s">
        <v>1558</v>
      </c>
      <c r="B72" s="383"/>
      <c r="C72" s="383"/>
      <c r="D72" s="383"/>
      <c r="E72" s="383"/>
      <c r="F72" s="383"/>
      <c r="G72" s="19">
        <v>64</v>
      </c>
      <c r="H72" s="20"/>
      <c r="I72" s="71">
        <v>82887</v>
      </c>
      <c r="J72" s="71">
        <v>4667</v>
      </c>
    </row>
    <row r="73" spans="1:10" ht="13.5" customHeight="1">
      <c r="A73" s="383" t="s">
        <v>2649</v>
      </c>
      <c r="B73" s="383"/>
      <c r="C73" s="383"/>
      <c r="D73" s="383"/>
      <c r="E73" s="383"/>
      <c r="F73" s="383"/>
      <c r="G73" s="19">
        <v>65</v>
      </c>
      <c r="H73" s="20"/>
      <c r="I73" s="70">
        <f>I9+I10+I45+I72</f>
        <v>564997450</v>
      </c>
      <c r="J73" s="70">
        <f>J9+J10+J45+J72</f>
        <v>558958910</v>
      </c>
    </row>
    <row r="74" spans="1:10" ht="13.5" customHeight="1">
      <c r="A74" s="384" t="s">
        <v>257</v>
      </c>
      <c r="B74" s="384"/>
      <c r="C74" s="384"/>
      <c r="D74" s="384"/>
      <c r="E74" s="384"/>
      <c r="F74" s="384"/>
      <c r="G74" s="21">
        <v>66</v>
      </c>
      <c r="H74" s="22"/>
      <c r="I74" s="72">
        <v>2182</v>
      </c>
      <c r="J74" s="72">
        <v>2148</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159856499</v>
      </c>
      <c r="J76" s="70">
        <f>J77+J78+J79+J85+J86+J90+J93+J96</f>
        <v>159871752</v>
      </c>
      <c r="L76" s="2" t="s">
        <v>2590</v>
      </c>
    </row>
    <row r="77" spans="1:10" ht="13.5" customHeight="1">
      <c r="A77" s="382" t="s">
        <v>935</v>
      </c>
      <c r="B77" s="382"/>
      <c r="C77" s="382"/>
      <c r="D77" s="382"/>
      <c r="E77" s="382"/>
      <c r="F77" s="382"/>
      <c r="G77" s="19">
        <v>68</v>
      </c>
      <c r="H77" s="20" t="s">
        <v>2979</v>
      </c>
      <c r="I77" s="71">
        <v>159483800</v>
      </c>
      <c r="J77" s="71">
        <v>159483800</v>
      </c>
    </row>
    <row r="78" spans="1:12" ht="13.5" customHeight="1">
      <c r="A78" s="382" t="s">
        <v>936</v>
      </c>
      <c r="B78" s="382"/>
      <c r="C78" s="382"/>
      <c r="D78" s="382"/>
      <c r="E78" s="382"/>
      <c r="F78" s="382"/>
      <c r="G78" s="19">
        <v>69</v>
      </c>
      <c r="H78" s="20"/>
      <c r="I78" s="71"/>
      <c r="J78" s="71"/>
      <c r="L78" s="2" t="s">
        <v>2590</v>
      </c>
    </row>
    <row r="79" spans="1:12" ht="13.5" customHeight="1">
      <c r="A79" s="382" t="s">
        <v>2472</v>
      </c>
      <c r="B79" s="382"/>
      <c r="C79" s="382"/>
      <c r="D79" s="382"/>
      <c r="E79" s="382"/>
      <c r="F79" s="382"/>
      <c r="G79" s="19">
        <v>70</v>
      </c>
      <c r="H79" s="20"/>
      <c r="I79" s="70">
        <f>I80+I81-I82+I83+I84</f>
        <v>0</v>
      </c>
      <c r="J79" s="70">
        <f>J80+J81-J82+J83+J84</f>
        <v>0</v>
      </c>
      <c r="L79" s="2" t="s">
        <v>2590</v>
      </c>
    </row>
    <row r="80" spans="1:10" ht="13.5" customHeight="1">
      <c r="A80" s="381" t="s">
        <v>2640</v>
      </c>
      <c r="B80" s="381"/>
      <c r="C80" s="381"/>
      <c r="D80" s="381"/>
      <c r="E80" s="381"/>
      <c r="F80" s="381"/>
      <c r="G80" s="19">
        <v>71</v>
      </c>
      <c r="H80" s="20"/>
      <c r="I80" s="71"/>
      <c r="J80" s="71"/>
    </row>
    <row r="81" spans="1:10" ht="13.5" customHeight="1">
      <c r="A81" s="381" t="s">
        <v>2641</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2651</v>
      </c>
      <c r="B90" s="382"/>
      <c r="C90" s="382"/>
      <c r="D90" s="382"/>
      <c r="E90" s="382"/>
      <c r="F90" s="382"/>
      <c r="G90" s="19">
        <v>81</v>
      </c>
      <c r="H90" s="20"/>
      <c r="I90" s="70">
        <f>I91-I92</f>
        <v>273874</v>
      </c>
      <c r="J90" s="70">
        <f>J91-J92</f>
        <v>372699</v>
      </c>
      <c r="L90" s="2" t="s">
        <v>2590</v>
      </c>
    </row>
    <row r="91" spans="1:10" ht="13.5" customHeight="1">
      <c r="A91" s="381" t="s">
        <v>1139</v>
      </c>
      <c r="B91" s="381"/>
      <c r="C91" s="381"/>
      <c r="D91" s="381"/>
      <c r="E91" s="381"/>
      <c r="F91" s="381"/>
      <c r="G91" s="19">
        <v>82</v>
      </c>
      <c r="H91" s="20" t="s">
        <v>2979</v>
      </c>
      <c r="I91" s="71">
        <v>273874</v>
      </c>
      <c r="J91" s="71">
        <v>372699</v>
      </c>
    </row>
    <row r="92" spans="1:10" ht="13.5" customHeight="1">
      <c r="A92" s="381" t="s">
        <v>1140</v>
      </c>
      <c r="B92" s="381"/>
      <c r="C92" s="381"/>
      <c r="D92" s="381"/>
      <c r="E92" s="381"/>
      <c r="F92" s="381"/>
      <c r="G92" s="19">
        <v>83</v>
      </c>
      <c r="H92" s="20"/>
      <c r="I92" s="71"/>
      <c r="J92" s="71"/>
    </row>
    <row r="93" spans="1:12" ht="13.5" customHeight="1">
      <c r="A93" s="382" t="s">
        <v>2652</v>
      </c>
      <c r="B93" s="382"/>
      <c r="C93" s="382"/>
      <c r="D93" s="382"/>
      <c r="E93" s="382"/>
      <c r="F93" s="382"/>
      <c r="G93" s="19">
        <v>84</v>
      </c>
      <c r="H93" s="20"/>
      <c r="I93" s="70">
        <f>I94-I95</f>
        <v>98825</v>
      </c>
      <c r="J93" s="70">
        <f>J94-J95</f>
        <v>15253</v>
      </c>
      <c r="L93" s="2" t="s">
        <v>2590</v>
      </c>
    </row>
    <row r="94" spans="1:10" ht="13.5" customHeight="1">
      <c r="A94" s="381" t="s">
        <v>2639</v>
      </c>
      <c r="B94" s="381"/>
      <c r="C94" s="381"/>
      <c r="D94" s="381"/>
      <c r="E94" s="381"/>
      <c r="F94" s="381"/>
      <c r="G94" s="19">
        <v>85</v>
      </c>
      <c r="H94" s="20" t="s">
        <v>2979</v>
      </c>
      <c r="I94" s="71">
        <v>98825</v>
      </c>
      <c r="J94" s="71">
        <v>15253</v>
      </c>
    </row>
    <row r="95" spans="1:10" ht="13.5" customHeight="1">
      <c r="A95" s="381" t="s">
        <v>1141</v>
      </c>
      <c r="B95" s="381"/>
      <c r="C95" s="381"/>
      <c r="D95" s="381"/>
      <c r="E95" s="381"/>
      <c r="F95" s="381"/>
      <c r="G95" s="19">
        <v>86</v>
      </c>
      <c r="H95" s="20"/>
      <c r="I95" s="71"/>
      <c r="J95" s="71"/>
    </row>
    <row r="96" spans="1:12" ht="13.5" customHeight="1">
      <c r="A96" s="382" t="s">
        <v>2190</v>
      </c>
      <c r="B96" s="382"/>
      <c r="C96" s="382"/>
      <c r="D96" s="382"/>
      <c r="E96" s="382"/>
      <c r="F96" s="382"/>
      <c r="G96" s="19">
        <v>87</v>
      </c>
      <c r="H96" s="20"/>
      <c r="I96" s="71"/>
      <c r="J96" s="71"/>
      <c r="L96" s="2" t="s">
        <v>2590</v>
      </c>
    </row>
    <row r="97" spans="1:10" ht="13.5" customHeight="1">
      <c r="A97" s="383" t="s">
        <v>2653</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2638</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2191</v>
      </c>
      <c r="B103" s="381"/>
      <c r="C103" s="381"/>
      <c r="D103" s="381"/>
      <c r="E103" s="381"/>
      <c r="F103" s="381"/>
      <c r="G103" s="19">
        <v>94</v>
      </c>
      <c r="H103" s="20"/>
      <c r="I103" s="71"/>
      <c r="J103" s="71"/>
    </row>
    <row r="104" spans="1:10" ht="13.5" customHeight="1">
      <c r="A104" s="383" t="s">
        <v>2654</v>
      </c>
      <c r="B104" s="383"/>
      <c r="C104" s="383"/>
      <c r="D104" s="383"/>
      <c r="E104" s="383"/>
      <c r="F104" s="383"/>
      <c r="G104" s="19">
        <v>95</v>
      </c>
      <c r="H104" s="20"/>
      <c r="I104" s="70">
        <f>SUM(I105:I115)</f>
        <v>269675</v>
      </c>
      <c r="J104" s="70">
        <f>SUM(J105:J115)</f>
        <v>744082</v>
      </c>
    </row>
    <row r="105" spans="1:10" ht="13.5" customHeight="1">
      <c r="A105" s="381" t="s">
        <v>2192</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2976</v>
      </c>
      <c r="I110" s="71">
        <v>269675</v>
      </c>
      <c r="J110" s="71">
        <v>744082</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2655</v>
      </c>
      <c r="B116" s="383"/>
      <c r="C116" s="383"/>
      <c r="D116" s="383"/>
      <c r="E116" s="383"/>
      <c r="F116" s="383"/>
      <c r="G116" s="19">
        <v>107</v>
      </c>
      <c r="H116" s="20"/>
      <c r="I116" s="70">
        <f>SUM(I117:I130)</f>
        <v>24928018</v>
      </c>
      <c r="J116" s="70">
        <f>SUM(J117:J130)</f>
        <v>21742942</v>
      </c>
    </row>
    <row r="117" spans="1:10" ht="13.5" customHeight="1">
      <c r="A117" s="381" t="s">
        <v>2192</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t="s">
        <v>2976</v>
      </c>
      <c r="I122" s="71">
        <v>230584</v>
      </c>
      <c r="J122" s="71">
        <v>382010</v>
      </c>
    </row>
    <row r="123" spans="1:10" ht="13.5" customHeight="1">
      <c r="A123" s="381" t="s">
        <v>357</v>
      </c>
      <c r="B123" s="381"/>
      <c r="C123" s="381"/>
      <c r="D123" s="381"/>
      <c r="E123" s="381"/>
      <c r="F123" s="381"/>
      <c r="G123" s="19">
        <v>114</v>
      </c>
      <c r="H123" s="20" t="s">
        <v>2981</v>
      </c>
      <c r="I123" s="71">
        <v>1474977</v>
      </c>
      <c r="J123" s="71">
        <v>1705997</v>
      </c>
    </row>
    <row r="124" spans="1:10" ht="13.5" customHeight="1">
      <c r="A124" s="381" t="s">
        <v>358</v>
      </c>
      <c r="B124" s="381"/>
      <c r="C124" s="381"/>
      <c r="D124" s="381"/>
      <c r="E124" s="381"/>
      <c r="F124" s="381"/>
      <c r="G124" s="19">
        <v>115</v>
      </c>
      <c r="H124" s="20" t="s">
        <v>2972</v>
      </c>
      <c r="I124" s="71">
        <v>9034938</v>
      </c>
      <c r="J124" s="71">
        <v>7075092</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2981</v>
      </c>
      <c r="I126" s="71">
        <v>2054619</v>
      </c>
      <c r="J126" s="71">
        <v>1416272</v>
      </c>
    </row>
    <row r="127" spans="1:10" ht="13.5" customHeight="1">
      <c r="A127" s="381" t="s">
        <v>364</v>
      </c>
      <c r="B127" s="381"/>
      <c r="C127" s="381"/>
      <c r="D127" s="381"/>
      <c r="E127" s="381"/>
      <c r="F127" s="381"/>
      <c r="G127" s="19">
        <v>118</v>
      </c>
      <c r="H127" s="20" t="s">
        <v>2981</v>
      </c>
      <c r="I127" s="71">
        <v>1121311</v>
      </c>
      <c r="J127" s="71">
        <v>1184236</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t="s">
        <v>2981</v>
      </c>
      <c r="I130" s="71">
        <v>11011589</v>
      </c>
      <c r="J130" s="71">
        <v>9979335</v>
      </c>
    </row>
    <row r="131" spans="1:10" ht="24.75" customHeight="1">
      <c r="A131" s="383" t="s">
        <v>1560</v>
      </c>
      <c r="B131" s="383"/>
      <c r="C131" s="383"/>
      <c r="D131" s="383"/>
      <c r="E131" s="383"/>
      <c r="F131" s="383"/>
      <c r="G131" s="19">
        <v>122</v>
      </c>
      <c r="H131" s="20" t="s">
        <v>2975</v>
      </c>
      <c r="I131" s="71">
        <v>379943258</v>
      </c>
      <c r="J131" s="71">
        <v>376600134</v>
      </c>
    </row>
    <row r="132" spans="1:10" ht="13.5" customHeight="1">
      <c r="A132" s="383" t="s">
        <v>2656</v>
      </c>
      <c r="B132" s="383"/>
      <c r="C132" s="383"/>
      <c r="D132" s="383"/>
      <c r="E132" s="383"/>
      <c r="F132" s="383"/>
      <c r="G132" s="19">
        <v>123</v>
      </c>
      <c r="H132" s="20"/>
      <c r="I132" s="70">
        <f>I76+I97+I104+I116+I131</f>
        <v>564997450</v>
      </c>
      <c r="J132" s="70">
        <f>J76+J97+J104+J116+J131</f>
        <v>558958910</v>
      </c>
    </row>
    <row r="133" spans="1:10" ht="13.5" customHeight="1">
      <c r="A133" s="384" t="s">
        <v>662</v>
      </c>
      <c r="B133" s="384"/>
      <c r="C133" s="384"/>
      <c r="D133" s="384"/>
      <c r="E133" s="384"/>
      <c r="F133" s="384"/>
      <c r="G133" s="21">
        <v>124</v>
      </c>
      <c r="H133" s="22"/>
      <c r="I133" s="72">
        <v>2182</v>
      </c>
      <c r="J133" s="72">
        <v>2148</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J62" sqref="J6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89406825003; VODOVOD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81369076</v>
      </c>
      <c r="J8" s="84">
        <f>SUM(J9:J13)</f>
        <v>81559716</v>
      </c>
      <c r="Q8" s="2">
        <f>IF(OR(MIN(I70:J75)&lt;&gt;0,MAX(I70:J75)&lt;&gt;0),1,0)</f>
        <v>0</v>
      </c>
      <c r="R8" s="73" t="s">
        <v>2596</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2982</v>
      </c>
      <c r="I10" s="71">
        <v>61744790</v>
      </c>
      <c r="J10" s="71">
        <v>60498791</v>
      </c>
    </row>
    <row r="11" spans="1:10" s="2" customFormat="1" ht="13.5" customHeight="1">
      <c r="A11" s="381" t="s">
        <v>1435</v>
      </c>
      <c r="B11" s="381"/>
      <c r="C11" s="381"/>
      <c r="D11" s="381"/>
      <c r="E11" s="381"/>
      <c r="F11" s="381"/>
      <c r="G11" s="19">
        <v>128</v>
      </c>
      <c r="H11" s="20" t="s">
        <v>2983</v>
      </c>
      <c r="I11" s="71">
        <v>2551521</v>
      </c>
      <c r="J11" s="71">
        <v>2119808</v>
      </c>
    </row>
    <row r="12" spans="1:10" s="2" customFormat="1" ht="13.5" customHeight="1">
      <c r="A12" s="381" t="s">
        <v>1436</v>
      </c>
      <c r="B12" s="381"/>
      <c r="C12" s="381"/>
      <c r="D12" s="381"/>
      <c r="E12" s="381"/>
      <c r="F12" s="381"/>
      <c r="G12" s="19">
        <v>129</v>
      </c>
      <c r="H12" s="20"/>
      <c r="I12" s="71"/>
      <c r="J12" s="71"/>
    </row>
    <row r="13" spans="1:10" s="2" customFormat="1" ht="13.5" customHeight="1">
      <c r="A13" s="381" t="s">
        <v>2509</v>
      </c>
      <c r="B13" s="381"/>
      <c r="C13" s="381"/>
      <c r="D13" s="381"/>
      <c r="E13" s="381"/>
      <c r="F13" s="381"/>
      <c r="G13" s="19">
        <v>130</v>
      </c>
      <c r="H13" s="20" t="s">
        <v>2983</v>
      </c>
      <c r="I13" s="71">
        <v>17072765</v>
      </c>
      <c r="J13" s="71">
        <v>18941117</v>
      </c>
    </row>
    <row r="14" spans="1:10" s="2" customFormat="1" ht="13.5" customHeight="1">
      <c r="A14" s="383" t="s">
        <v>1837</v>
      </c>
      <c r="B14" s="383"/>
      <c r="C14" s="383"/>
      <c r="D14" s="383"/>
      <c r="E14" s="383"/>
      <c r="F14" s="383"/>
      <c r="G14" s="19">
        <v>131</v>
      </c>
      <c r="H14" s="20"/>
      <c r="I14" s="70">
        <f>I15+I16+I20+I24+I25+I26+I29+I36</f>
        <v>83191680</v>
      </c>
      <c r="J14" s="70">
        <f>J15+J16+J20+J24+J25+J26+J29+J36</f>
        <v>80366014</v>
      </c>
    </row>
    <row r="15" spans="1:12" s="2" customFormat="1" ht="13.5" customHeight="1">
      <c r="A15" s="381" t="s">
        <v>258</v>
      </c>
      <c r="B15" s="381"/>
      <c r="C15" s="381"/>
      <c r="D15" s="381"/>
      <c r="E15" s="381"/>
      <c r="F15" s="381"/>
      <c r="G15" s="19">
        <v>132</v>
      </c>
      <c r="H15" s="20"/>
      <c r="I15" s="71"/>
      <c r="J15" s="71"/>
      <c r="L15" s="2" t="s">
        <v>2590</v>
      </c>
    </row>
    <row r="16" spans="1:10" s="2" customFormat="1" ht="13.5" customHeight="1">
      <c r="A16" s="381" t="s">
        <v>1838</v>
      </c>
      <c r="B16" s="381"/>
      <c r="C16" s="381"/>
      <c r="D16" s="381"/>
      <c r="E16" s="381"/>
      <c r="F16" s="381"/>
      <c r="G16" s="19">
        <v>133</v>
      </c>
      <c r="H16" s="20"/>
      <c r="I16" s="70">
        <f>SUM(I17:I19)</f>
        <v>26946355</v>
      </c>
      <c r="J16" s="70">
        <f>SUM(J17:J19)</f>
        <v>27717940</v>
      </c>
    </row>
    <row r="17" spans="1:10" s="2" customFormat="1" ht="13.5" customHeight="1">
      <c r="A17" s="410" t="s">
        <v>504</v>
      </c>
      <c r="B17" s="410"/>
      <c r="C17" s="410"/>
      <c r="D17" s="410"/>
      <c r="E17" s="410"/>
      <c r="F17" s="410"/>
      <c r="G17" s="19">
        <v>134</v>
      </c>
      <c r="H17" s="20" t="s">
        <v>2984</v>
      </c>
      <c r="I17" s="71">
        <v>17729968</v>
      </c>
      <c r="J17" s="71">
        <v>19839740</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t="s">
        <v>2984</v>
      </c>
      <c r="I19" s="71">
        <v>9216387</v>
      </c>
      <c r="J19" s="71">
        <v>7878200</v>
      </c>
    </row>
    <row r="20" spans="1:10" s="2" customFormat="1" ht="13.5" customHeight="1">
      <c r="A20" s="381" t="s">
        <v>1839</v>
      </c>
      <c r="B20" s="381"/>
      <c r="C20" s="381"/>
      <c r="D20" s="381"/>
      <c r="E20" s="381"/>
      <c r="F20" s="381"/>
      <c r="G20" s="19">
        <v>137</v>
      </c>
      <c r="H20" s="20"/>
      <c r="I20" s="70">
        <f>SUM(I21:I23)</f>
        <v>27934151</v>
      </c>
      <c r="J20" s="70">
        <f>SUM(J21:J23)</f>
        <v>27598085</v>
      </c>
    </row>
    <row r="21" spans="1:10" s="2" customFormat="1" ht="13.5" customHeight="1">
      <c r="A21" s="410" t="s">
        <v>724</v>
      </c>
      <c r="B21" s="410"/>
      <c r="C21" s="410"/>
      <c r="D21" s="410"/>
      <c r="E21" s="410"/>
      <c r="F21" s="410"/>
      <c r="G21" s="19">
        <v>138</v>
      </c>
      <c r="H21" s="20" t="s">
        <v>2986</v>
      </c>
      <c r="I21" s="71">
        <v>19345208</v>
      </c>
      <c r="J21" s="71">
        <v>19052130</v>
      </c>
    </row>
    <row r="22" spans="1:10" s="2" customFormat="1" ht="13.5" customHeight="1">
      <c r="A22" s="410" t="s">
        <v>961</v>
      </c>
      <c r="B22" s="410"/>
      <c r="C22" s="410"/>
      <c r="D22" s="410"/>
      <c r="E22" s="410"/>
      <c r="F22" s="410"/>
      <c r="G22" s="19">
        <v>139</v>
      </c>
      <c r="H22" s="20" t="s">
        <v>2986</v>
      </c>
      <c r="I22" s="71">
        <v>5037721</v>
      </c>
      <c r="J22" s="71">
        <v>5029320</v>
      </c>
    </row>
    <row r="23" spans="1:10" s="2" customFormat="1" ht="13.5" customHeight="1">
      <c r="A23" s="410" t="s">
        <v>962</v>
      </c>
      <c r="B23" s="410"/>
      <c r="C23" s="410"/>
      <c r="D23" s="410"/>
      <c r="E23" s="410"/>
      <c r="F23" s="410"/>
      <c r="G23" s="19">
        <v>140</v>
      </c>
      <c r="H23" s="20" t="s">
        <v>2986</v>
      </c>
      <c r="I23" s="71">
        <v>3551222</v>
      </c>
      <c r="J23" s="71">
        <v>3516635</v>
      </c>
    </row>
    <row r="24" spans="1:10" s="2" customFormat="1" ht="13.5" customHeight="1">
      <c r="A24" s="381" t="s">
        <v>259</v>
      </c>
      <c r="B24" s="381"/>
      <c r="C24" s="381"/>
      <c r="D24" s="381"/>
      <c r="E24" s="381"/>
      <c r="F24" s="381"/>
      <c r="G24" s="19">
        <v>141</v>
      </c>
      <c r="H24" s="20" t="s">
        <v>2968</v>
      </c>
      <c r="I24" s="71">
        <v>15524769</v>
      </c>
      <c r="J24" s="71">
        <v>16805848</v>
      </c>
    </row>
    <row r="25" spans="1:10" s="2" customFormat="1" ht="13.5" customHeight="1">
      <c r="A25" s="381" t="s">
        <v>260</v>
      </c>
      <c r="B25" s="381"/>
      <c r="C25" s="381"/>
      <c r="D25" s="381"/>
      <c r="E25" s="381"/>
      <c r="F25" s="381"/>
      <c r="G25" s="19">
        <v>142</v>
      </c>
      <c r="H25" s="20" t="s">
        <v>2985</v>
      </c>
      <c r="I25" s="71">
        <v>3270777</v>
      </c>
      <c r="J25" s="71">
        <v>2739119</v>
      </c>
    </row>
    <row r="26" spans="1:12" s="2" customFormat="1" ht="13.5" customHeight="1">
      <c r="A26" s="381" t="s">
        <v>1840</v>
      </c>
      <c r="B26" s="381"/>
      <c r="C26" s="381"/>
      <c r="D26" s="381"/>
      <c r="E26" s="381"/>
      <c r="F26" s="381"/>
      <c r="G26" s="19">
        <v>143</v>
      </c>
      <c r="H26" s="20"/>
      <c r="I26" s="70">
        <f>SUM(I27:I28)</f>
        <v>6900784</v>
      </c>
      <c r="J26" s="70">
        <f>SUM(J27:J28)</f>
        <v>4493034</v>
      </c>
      <c r="L26" s="2" t="s">
        <v>2590</v>
      </c>
    </row>
    <row r="27" spans="1:12" s="2" customFormat="1" ht="13.5" customHeight="1">
      <c r="A27" s="410" t="s">
        <v>506</v>
      </c>
      <c r="B27" s="410"/>
      <c r="C27" s="410"/>
      <c r="D27" s="410"/>
      <c r="E27" s="410"/>
      <c r="F27" s="410"/>
      <c r="G27" s="19">
        <v>144</v>
      </c>
      <c r="H27" s="20"/>
      <c r="I27" s="71">
        <v>1271331</v>
      </c>
      <c r="J27" s="71"/>
      <c r="L27" s="2" t="s">
        <v>2590</v>
      </c>
    </row>
    <row r="28" spans="1:12" s="2" customFormat="1" ht="13.5" customHeight="1">
      <c r="A28" s="410" t="s">
        <v>507</v>
      </c>
      <c r="B28" s="410"/>
      <c r="C28" s="410"/>
      <c r="D28" s="410"/>
      <c r="E28" s="410"/>
      <c r="F28" s="410"/>
      <c r="G28" s="19">
        <v>145</v>
      </c>
      <c r="H28" s="20" t="s">
        <v>2985</v>
      </c>
      <c r="I28" s="71">
        <v>5629453</v>
      </c>
      <c r="J28" s="71">
        <v>4493034</v>
      </c>
      <c r="L28" s="2" t="s">
        <v>2590</v>
      </c>
    </row>
    <row r="29" spans="1:12" s="2" customFormat="1" ht="13.5" customHeight="1">
      <c r="A29" s="381" t="s">
        <v>1841</v>
      </c>
      <c r="B29" s="381"/>
      <c r="C29" s="381"/>
      <c r="D29" s="381"/>
      <c r="E29" s="381"/>
      <c r="F29" s="381"/>
      <c r="G29" s="19">
        <v>146</v>
      </c>
      <c r="H29" s="20"/>
      <c r="I29" s="70">
        <f>SUM(I30:I35)</f>
        <v>0</v>
      </c>
      <c r="J29" s="70">
        <f>SUM(J30:J35)</f>
        <v>0</v>
      </c>
      <c r="L29" s="2" t="s">
        <v>2590</v>
      </c>
    </row>
    <row r="30" spans="1:12" s="2" customFormat="1" ht="13.5" customHeight="1">
      <c r="A30" s="410" t="s">
        <v>508</v>
      </c>
      <c r="B30" s="410"/>
      <c r="C30" s="410"/>
      <c r="D30" s="410"/>
      <c r="E30" s="410"/>
      <c r="F30" s="410"/>
      <c r="G30" s="19">
        <v>147</v>
      </c>
      <c r="H30" s="20"/>
      <c r="I30" s="71"/>
      <c r="J30" s="71"/>
      <c r="L30" s="2" t="s">
        <v>2590</v>
      </c>
    </row>
    <row r="31" spans="1:12" s="2" customFormat="1" ht="13.5" customHeight="1">
      <c r="A31" s="410" t="s">
        <v>509</v>
      </c>
      <c r="B31" s="410"/>
      <c r="C31" s="410"/>
      <c r="D31" s="410"/>
      <c r="E31" s="410"/>
      <c r="F31" s="410"/>
      <c r="G31" s="19">
        <v>148</v>
      </c>
      <c r="H31" s="20"/>
      <c r="I31" s="71"/>
      <c r="J31" s="71"/>
      <c r="L31" s="2" t="s">
        <v>2590</v>
      </c>
    </row>
    <row r="32" spans="1:12" s="2" customFormat="1" ht="13.5" customHeight="1">
      <c r="A32" s="410" t="s">
        <v>510</v>
      </c>
      <c r="B32" s="410"/>
      <c r="C32" s="410"/>
      <c r="D32" s="410"/>
      <c r="E32" s="410"/>
      <c r="F32" s="410"/>
      <c r="G32" s="19">
        <v>149</v>
      </c>
      <c r="H32" s="20"/>
      <c r="I32" s="71"/>
      <c r="J32" s="71"/>
      <c r="L32" s="2" t="s">
        <v>2590</v>
      </c>
    </row>
    <row r="33" spans="1:12" s="2" customFormat="1" ht="13.5" customHeight="1">
      <c r="A33" s="410" t="s">
        <v>511</v>
      </c>
      <c r="B33" s="410"/>
      <c r="C33" s="410"/>
      <c r="D33" s="410"/>
      <c r="E33" s="410"/>
      <c r="F33" s="410"/>
      <c r="G33" s="19">
        <v>150</v>
      </c>
      <c r="H33" s="20"/>
      <c r="I33" s="71"/>
      <c r="J33" s="71"/>
      <c r="L33" s="2" t="s">
        <v>2590</v>
      </c>
    </row>
    <row r="34" spans="1:12" s="2" customFormat="1" ht="13.5" customHeight="1">
      <c r="A34" s="410" t="s">
        <v>512</v>
      </c>
      <c r="B34" s="410"/>
      <c r="C34" s="410"/>
      <c r="D34" s="410"/>
      <c r="E34" s="410"/>
      <c r="F34" s="410"/>
      <c r="G34" s="19">
        <v>151</v>
      </c>
      <c r="H34" s="20"/>
      <c r="I34" s="71"/>
      <c r="J34" s="71"/>
      <c r="L34" s="2" t="s">
        <v>2590</v>
      </c>
    </row>
    <row r="35" spans="1:12" s="2" customFormat="1" ht="13.5" customHeight="1">
      <c r="A35" s="410" t="s">
        <v>513</v>
      </c>
      <c r="B35" s="410"/>
      <c r="C35" s="410"/>
      <c r="D35" s="410"/>
      <c r="E35" s="410"/>
      <c r="F35" s="410"/>
      <c r="G35" s="19">
        <v>152</v>
      </c>
      <c r="H35" s="20"/>
      <c r="I35" s="71"/>
      <c r="J35" s="71"/>
      <c r="L35" s="2" t="s">
        <v>2590</v>
      </c>
    </row>
    <row r="36" spans="1:10" s="2" customFormat="1" ht="13.5" customHeight="1">
      <c r="A36" s="381" t="s">
        <v>1692</v>
      </c>
      <c r="B36" s="381"/>
      <c r="C36" s="381"/>
      <c r="D36" s="381"/>
      <c r="E36" s="381"/>
      <c r="F36" s="381"/>
      <c r="G36" s="19">
        <v>153</v>
      </c>
      <c r="H36" s="20" t="s">
        <v>2985</v>
      </c>
      <c r="I36" s="71">
        <v>2614844</v>
      </c>
      <c r="J36" s="71">
        <v>1011988</v>
      </c>
    </row>
    <row r="37" spans="1:10" s="2" customFormat="1" ht="13.5" customHeight="1">
      <c r="A37" s="383" t="s">
        <v>1842</v>
      </c>
      <c r="B37" s="383"/>
      <c r="C37" s="383"/>
      <c r="D37" s="383"/>
      <c r="E37" s="383"/>
      <c r="F37" s="383"/>
      <c r="G37" s="19">
        <v>154</v>
      </c>
      <c r="H37" s="20"/>
      <c r="I37" s="70">
        <f>SUM(I38:I47)</f>
        <v>3479163</v>
      </c>
      <c r="J37" s="70">
        <f>SUM(J38:J47)</f>
        <v>1155186</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2970</v>
      </c>
      <c r="I44" s="71">
        <v>3472941</v>
      </c>
      <c r="J44" s="71">
        <v>1150717</v>
      </c>
    </row>
    <row r="45" spans="1:10" s="2" customFormat="1" ht="13.5" customHeight="1">
      <c r="A45" s="381" t="s">
        <v>1428</v>
      </c>
      <c r="B45" s="381"/>
      <c r="C45" s="381"/>
      <c r="D45" s="381"/>
      <c r="E45" s="381"/>
      <c r="F45" s="381"/>
      <c r="G45" s="19">
        <v>162</v>
      </c>
      <c r="H45" s="20" t="s">
        <v>2970</v>
      </c>
      <c r="I45" s="71">
        <v>6222</v>
      </c>
      <c r="J45" s="71">
        <v>4469</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1062936</v>
      </c>
      <c r="J48" s="70">
        <f>SUM(J49:J55)</f>
        <v>1868295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t="s">
        <v>2971</v>
      </c>
      <c r="I52" s="71">
        <v>62234</v>
      </c>
      <c r="J52" s="71">
        <v>53969</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2590</v>
      </c>
    </row>
    <row r="55" spans="1:10" s="2" customFormat="1" ht="13.5" customHeight="1">
      <c r="A55" s="404" t="s">
        <v>1442</v>
      </c>
      <c r="B55" s="404"/>
      <c r="C55" s="404"/>
      <c r="D55" s="404"/>
      <c r="E55" s="404"/>
      <c r="F55" s="404"/>
      <c r="G55" s="19">
        <v>172</v>
      </c>
      <c r="H55" s="20" t="s">
        <v>2971</v>
      </c>
      <c r="I55" s="71">
        <v>1000702</v>
      </c>
      <c r="J55" s="71">
        <v>1814326</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84848239</v>
      </c>
      <c r="J60" s="70">
        <f>J8+J37+J56+J57</f>
        <v>82714902</v>
      </c>
    </row>
    <row r="61" spans="1:10" s="2" customFormat="1" ht="13.5" customHeight="1">
      <c r="A61" s="383" t="s">
        <v>1845</v>
      </c>
      <c r="B61" s="383"/>
      <c r="C61" s="383"/>
      <c r="D61" s="383"/>
      <c r="E61" s="383"/>
      <c r="F61" s="383"/>
      <c r="G61" s="19">
        <v>178</v>
      </c>
      <c r="H61" s="20"/>
      <c r="I61" s="70">
        <f>I14+I48+I58+I59</f>
        <v>84254616</v>
      </c>
      <c r="J61" s="70">
        <f>J14+J48+J58+J59</f>
        <v>82234309</v>
      </c>
    </row>
    <row r="62" spans="1:12" s="2" customFormat="1" ht="13.5" customHeight="1">
      <c r="A62" s="383" t="s">
        <v>2580</v>
      </c>
      <c r="B62" s="383"/>
      <c r="C62" s="383"/>
      <c r="D62" s="383"/>
      <c r="E62" s="383"/>
      <c r="F62" s="383"/>
      <c r="G62" s="19">
        <v>179</v>
      </c>
      <c r="H62" s="20" t="s">
        <v>2967</v>
      </c>
      <c r="I62" s="70">
        <f>I60-I61</f>
        <v>593623</v>
      </c>
      <c r="J62" s="70">
        <f>J60-J61</f>
        <v>480593</v>
      </c>
      <c r="L62" s="2" t="s">
        <v>2590</v>
      </c>
    </row>
    <row r="63" spans="1:10" s="2" customFormat="1" ht="13.5" customHeight="1">
      <c r="A63" s="404" t="s">
        <v>2657</v>
      </c>
      <c r="B63" s="404"/>
      <c r="C63" s="404"/>
      <c r="D63" s="404"/>
      <c r="E63" s="404"/>
      <c r="F63" s="404"/>
      <c r="G63" s="19">
        <v>180</v>
      </c>
      <c r="H63" s="20"/>
      <c r="I63" s="70">
        <f>IF(I60&gt;I61,I60-I61,0)</f>
        <v>593623</v>
      </c>
      <c r="J63" s="70">
        <f>IF(J60&gt;J61,J60-J61,0)</f>
        <v>480593</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2619</v>
      </c>
      <c r="B65" s="383"/>
      <c r="C65" s="383"/>
      <c r="D65" s="383"/>
      <c r="E65" s="383"/>
      <c r="F65" s="383"/>
      <c r="G65" s="19">
        <v>182</v>
      </c>
      <c r="H65" s="20"/>
      <c r="I65" s="71">
        <v>494797</v>
      </c>
      <c r="J65" s="71">
        <v>465340</v>
      </c>
      <c r="L65" s="2" t="s">
        <v>2590</v>
      </c>
    </row>
    <row r="66" spans="1:12" s="2" customFormat="1" ht="13.5" customHeight="1">
      <c r="A66" s="383" t="s">
        <v>2581</v>
      </c>
      <c r="B66" s="383"/>
      <c r="C66" s="383"/>
      <c r="D66" s="383"/>
      <c r="E66" s="383"/>
      <c r="F66" s="383"/>
      <c r="G66" s="19">
        <v>183</v>
      </c>
      <c r="H66" s="20"/>
      <c r="I66" s="70">
        <f>I62-I65</f>
        <v>98826</v>
      </c>
      <c r="J66" s="70">
        <f>J62-J65</f>
        <v>15253</v>
      </c>
      <c r="L66" s="2" t="s">
        <v>2590</v>
      </c>
    </row>
    <row r="67" spans="1:10" s="2" customFormat="1" ht="13.5" customHeight="1">
      <c r="A67" s="404" t="s">
        <v>779</v>
      </c>
      <c r="B67" s="404"/>
      <c r="C67" s="404"/>
      <c r="D67" s="404"/>
      <c r="E67" s="404"/>
      <c r="F67" s="404"/>
      <c r="G67" s="19">
        <v>184</v>
      </c>
      <c r="H67" s="20"/>
      <c r="I67" s="70">
        <f>IF(I66&gt;0,I66,0)</f>
        <v>98826</v>
      </c>
      <c r="J67" s="70">
        <f>IF(J66&gt;0,J66,0)</f>
        <v>15253</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c r="J86" s="77"/>
      <c r="L86" s="2" t="s">
        <v>2590</v>
      </c>
    </row>
    <row r="87" spans="1:12" s="2" customFormat="1" ht="13.5" customHeight="1">
      <c r="A87" s="407" t="s">
        <v>1102</v>
      </c>
      <c r="B87" s="407"/>
      <c r="C87" s="407"/>
      <c r="D87" s="407"/>
      <c r="E87" s="407"/>
      <c r="F87" s="407"/>
      <c r="G87" s="21">
        <v>201</v>
      </c>
      <c r="H87" s="22"/>
      <c r="I87" s="78"/>
      <c r="J87" s="78"/>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98825</v>
      </c>
      <c r="J89" s="77">
        <v>15253</v>
      </c>
      <c r="L89" s="2" t="s">
        <v>2590</v>
      </c>
    </row>
    <row r="90" spans="1:12" s="2" customFormat="1" ht="25.5" customHeight="1">
      <c r="A90" s="405" t="s">
        <v>1473</v>
      </c>
      <c r="B90" s="405"/>
      <c r="C90" s="405"/>
      <c r="D90" s="405"/>
      <c r="E90" s="405"/>
      <c r="F90" s="405"/>
      <c r="G90" s="19">
        <v>203</v>
      </c>
      <c r="H90" s="20"/>
      <c r="I90" s="86">
        <f>SUM(I91:I98)</f>
        <v>0</v>
      </c>
      <c r="J90" s="86">
        <f>SUM(J91:J98)</f>
        <v>0</v>
      </c>
      <c r="L90" s="2" t="s">
        <v>2590</v>
      </c>
    </row>
    <row r="91" spans="1:12" s="2" customFormat="1" ht="13.5" customHeight="1">
      <c r="A91" s="404" t="s">
        <v>2062</v>
      </c>
      <c r="B91" s="404"/>
      <c r="C91" s="404"/>
      <c r="D91" s="404"/>
      <c r="E91" s="404"/>
      <c r="F91" s="404"/>
      <c r="G91" s="19">
        <v>204</v>
      </c>
      <c r="H91" s="20"/>
      <c r="I91" s="77"/>
      <c r="J91" s="77"/>
      <c r="L91" s="2" t="s">
        <v>2590</v>
      </c>
    </row>
    <row r="92" spans="1:12" s="2" customFormat="1" ht="25.5" customHeight="1">
      <c r="A92" s="404" t="s">
        <v>2063</v>
      </c>
      <c r="B92" s="404"/>
      <c r="C92" s="404"/>
      <c r="D92" s="404"/>
      <c r="E92" s="404"/>
      <c r="F92" s="404"/>
      <c r="G92" s="19">
        <v>205</v>
      </c>
      <c r="H92" s="20"/>
      <c r="I92" s="77"/>
      <c r="J92" s="77"/>
      <c r="L92" s="2" t="s">
        <v>2590</v>
      </c>
    </row>
    <row r="93" spans="1:12" s="2" customFormat="1" ht="26.25" customHeight="1">
      <c r="A93" s="404" t="s">
        <v>2064</v>
      </c>
      <c r="B93" s="404"/>
      <c r="C93" s="404"/>
      <c r="D93" s="404"/>
      <c r="E93" s="404"/>
      <c r="F93" s="404"/>
      <c r="G93" s="19">
        <v>206</v>
      </c>
      <c r="H93" s="20"/>
      <c r="I93" s="77"/>
      <c r="J93" s="77"/>
      <c r="L93" s="2" t="s">
        <v>2590</v>
      </c>
    </row>
    <row r="94" spans="1:12" s="2" customFormat="1" ht="13.5" customHeight="1">
      <c r="A94" s="404" t="s">
        <v>2065</v>
      </c>
      <c r="B94" s="404"/>
      <c r="C94" s="404"/>
      <c r="D94" s="404"/>
      <c r="E94" s="404"/>
      <c r="F94" s="404"/>
      <c r="G94" s="19">
        <v>207</v>
      </c>
      <c r="H94" s="20"/>
      <c r="I94" s="77"/>
      <c r="J94" s="77"/>
      <c r="L94" s="2" t="s">
        <v>2590</v>
      </c>
    </row>
    <row r="95" spans="1:12" s="2" customFormat="1" ht="13.5" customHeight="1">
      <c r="A95" s="404" t="s">
        <v>2066</v>
      </c>
      <c r="B95" s="404"/>
      <c r="C95" s="404"/>
      <c r="D95" s="404"/>
      <c r="E95" s="404"/>
      <c r="F95" s="404"/>
      <c r="G95" s="19">
        <v>208</v>
      </c>
      <c r="H95" s="20"/>
      <c r="I95" s="77"/>
      <c r="J95" s="77"/>
      <c r="L95" s="2" t="s">
        <v>2590</v>
      </c>
    </row>
    <row r="96" spans="1:12" s="2" customFormat="1" ht="25.5" customHeight="1">
      <c r="A96" s="404" t="s">
        <v>2067</v>
      </c>
      <c r="B96" s="404"/>
      <c r="C96" s="404"/>
      <c r="D96" s="404"/>
      <c r="E96" s="404"/>
      <c r="F96" s="404"/>
      <c r="G96" s="19">
        <v>209</v>
      </c>
      <c r="H96" s="20"/>
      <c r="I96" s="77"/>
      <c r="J96" s="77"/>
      <c r="L96" s="2" t="s">
        <v>2590</v>
      </c>
    </row>
    <row r="97" spans="1:12" s="2" customFormat="1" ht="13.5" customHeight="1">
      <c r="A97" s="404" t="s">
        <v>759</v>
      </c>
      <c r="B97" s="404"/>
      <c r="C97" s="404"/>
      <c r="D97" s="404"/>
      <c r="E97" s="404"/>
      <c r="F97" s="404"/>
      <c r="G97" s="19">
        <v>210</v>
      </c>
      <c r="H97" s="20"/>
      <c r="I97" s="77"/>
      <c r="J97" s="77"/>
      <c r="L97" s="2" t="s">
        <v>2590</v>
      </c>
    </row>
    <row r="98" spans="1:12" s="2" customFormat="1" ht="13.5" customHeight="1">
      <c r="A98" s="404" t="s">
        <v>1449</v>
      </c>
      <c r="B98" s="404"/>
      <c r="C98" s="404"/>
      <c r="D98" s="404"/>
      <c r="E98" s="404"/>
      <c r="F98" s="404"/>
      <c r="G98" s="19">
        <v>211</v>
      </c>
      <c r="H98" s="20"/>
      <c r="I98" s="77"/>
      <c r="J98" s="77"/>
      <c r="L98" s="2" t="s">
        <v>2590</v>
      </c>
    </row>
    <row r="99" spans="1:12" s="2" customFormat="1" ht="13.5" customHeight="1">
      <c r="A99" s="405" t="s">
        <v>2620</v>
      </c>
      <c r="B99" s="405"/>
      <c r="C99" s="405"/>
      <c r="D99" s="405"/>
      <c r="E99" s="405"/>
      <c r="F99" s="405"/>
      <c r="G99" s="19">
        <v>212</v>
      </c>
      <c r="H99" s="20"/>
      <c r="I99" s="77"/>
      <c r="J99" s="77"/>
      <c r="L99" s="2" t="s">
        <v>2590</v>
      </c>
    </row>
    <row r="100" spans="1:12" s="2" customFormat="1" ht="15" customHeight="1">
      <c r="A100" s="405" t="s">
        <v>1474</v>
      </c>
      <c r="B100" s="405"/>
      <c r="C100" s="405"/>
      <c r="D100" s="405"/>
      <c r="E100" s="405"/>
      <c r="F100" s="405"/>
      <c r="G100" s="19">
        <v>213</v>
      </c>
      <c r="H100" s="20"/>
      <c r="I100" s="86">
        <f>I90-I99</f>
        <v>0</v>
      </c>
      <c r="J100" s="86">
        <f>J90-J99</f>
        <v>0</v>
      </c>
      <c r="L100" s="2" t="s">
        <v>2590</v>
      </c>
    </row>
    <row r="101" spans="1:12" s="2" customFormat="1" ht="13.5" customHeight="1">
      <c r="A101" s="408" t="s">
        <v>1475</v>
      </c>
      <c r="B101" s="408"/>
      <c r="C101" s="408"/>
      <c r="D101" s="408"/>
      <c r="E101" s="408"/>
      <c r="F101" s="408"/>
      <c r="G101" s="21">
        <v>214</v>
      </c>
      <c r="H101" s="22"/>
      <c r="I101" s="87">
        <f>I89+I100</f>
        <v>98825</v>
      </c>
      <c r="J101" s="87">
        <f>J89+J100</f>
        <v>15253</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c r="J104" s="77"/>
      <c r="L104" s="2" t="s">
        <v>2590</v>
      </c>
    </row>
    <row r="105" spans="1:12" s="2" customFormat="1" ht="13.5" customHeight="1">
      <c r="A105" s="407" t="s">
        <v>1450</v>
      </c>
      <c r="B105" s="407"/>
      <c r="C105" s="407"/>
      <c r="D105" s="407"/>
      <c r="E105" s="407"/>
      <c r="F105" s="407"/>
      <c r="G105" s="21">
        <v>217</v>
      </c>
      <c r="H105" s="22"/>
      <c r="I105" s="78"/>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6" activePane="bottomLeft" state="frozen"/>
      <selection pane="topLeft" activeCell="A1" sqref="A1"/>
      <selection pane="bottomLeft" activeCell="I82" sqref="I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43" t="s">
        <v>568</v>
      </c>
      <c r="B2" s="444"/>
      <c r="C2" s="444"/>
      <c r="D2" s="444"/>
      <c r="E2" s="444"/>
      <c r="F2" s="444"/>
      <c r="G2" s="444"/>
      <c r="H2" s="444"/>
      <c r="I2" s="445"/>
      <c r="J2" s="385" t="s">
        <v>2592</v>
      </c>
      <c r="Q2" s="74">
        <f>IF(MAX(I9:I88)&gt;0,1,0)</f>
        <v>0</v>
      </c>
      <c r="R2" s="73" t="s">
        <v>2585</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89406825003; VODOVOD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c r="J25" s="94"/>
    </row>
    <row r="26" spans="1:10" s="2" customFormat="1" ht="24.75" customHeight="1">
      <c r="A26" s="404" t="s">
        <v>2214</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2215</v>
      </c>
      <c r="B33" s="404"/>
      <c r="C33" s="404"/>
      <c r="D33" s="404"/>
      <c r="E33" s="404"/>
      <c r="F33" s="404"/>
      <c r="G33" s="427"/>
      <c r="H33" s="19">
        <v>239</v>
      </c>
      <c r="I33" s="77"/>
      <c r="J33" s="77"/>
    </row>
    <row r="34" spans="1:10" s="2" customFormat="1" ht="36" customHeight="1">
      <c r="A34" s="404" t="s">
        <v>2216</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2218</v>
      </c>
      <c r="B51" s="404"/>
      <c r="C51" s="404"/>
      <c r="D51" s="404"/>
      <c r="E51" s="404"/>
      <c r="F51" s="404"/>
      <c r="G51" s="427"/>
      <c r="H51" s="19">
        <v>253</v>
      </c>
      <c r="I51" s="77"/>
      <c r="J51" s="77"/>
    </row>
    <row r="52" spans="1:10" s="2" customFormat="1" ht="24.75" customHeight="1">
      <c r="A52" s="404" t="s">
        <v>2442</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2433</v>
      </c>
      <c r="B55" s="404"/>
      <c r="C55" s="404"/>
      <c r="D55" s="404"/>
      <c r="E55" s="404"/>
      <c r="F55" s="404"/>
      <c r="G55" s="427"/>
      <c r="H55" s="19">
        <v>257</v>
      </c>
      <c r="I55" s="77"/>
      <c r="J55" s="77"/>
    </row>
    <row r="56" spans="1:10" s="2" customFormat="1" ht="13.5" customHeight="1">
      <c r="A56" s="404" t="s">
        <v>2434</v>
      </c>
      <c r="B56" s="404"/>
      <c r="C56" s="404"/>
      <c r="D56" s="404"/>
      <c r="E56" s="404"/>
      <c r="F56" s="404"/>
      <c r="G56" s="427"/>
      <c r="H56" s="19">
        <v>258</v>
      </c>
      <c r="I56" s="77"/>
      <c r="J56" s="77"/>
    </row>
    <row r="57" spans="1:10" s="2" customFormat="1" ht="25.5" customHeight="1">
      <c r="A57" s="404" t="s">
        <v>2443</v>
      </c>
      <c r="B57" s="404"/>
      <c r="C57" s="404"/>
      <c r="D57" s="404"/>
      <c r="E57" s="404"/>
      <c r="F57" s="404"/>
      <c r="G57" s="427"/>
      <c r="H57" s="19">
        <v>259</v>
      </c>
      <c r="I57" s="77"/>
      <c r="J57" s="77"/>
    </row>
    <row r="58" spans="1:10" s="2" customFormat="1" ht="13.5" customHeight="1">
      <c r="A58" s="404" t="s">
        <v>2435</v>
      </c>
      <c r="B58" s="404"/>
      <c r="C58" s="404"/>
      <c r="D58" s="404"/>
      <c r="E58" s="404"/>
      <c r="F58" s="404"/>
      <c r="G58" s="427"/>
      <c r="H58" s="19">
        <v>260</v>
      </c>
      <c r="I58" s="77"/>
      <c r="J58" s="77"/>
    </row>
    <row r="59" spans="1:10" s="2" customFormat="1" ht="13.5" customHeight="1">
      <c r="A59" s="404" t="s">
        <v>2436</v>
      </c>
      <c r="B59" s="404"/>
      <c r="C59" s="404"/>
      <c r="D59" s="404"/>
      <c r="E59" s="404"/>
      <c r="F59" s="404"/>
      <c r="G59" s="427"/>
      <c r="H59" s="19">
        <v>261</v>
      </c>
      <c r="I59" s="77"/>
      <c r="J59" s="77"/>
    </row>
    <row r="60" spans="1:10" s="2" customFormat="1" ht="13.5" customHeight="1">
      <c r="A60" s="404" t="s">
        <v>2437</v>
      </c>
      <c r="B60" s="404"/>
      <c r="C60" s="404"/>
      <c r="D60" s="404"/>
      <c r="E60" s="404"/>
      <c r="F60" s="404"/>
      <c r="G60" s="427"/>
      <c r="H60" s="19">
        <v>262</v>
      </c>
      <c r="I60" s="77"/>
      <c r="J60" s="77"/>
    </row>
    <row r="61" spans="1:10" s="2" customFormat="1" ht="13.5" customHeight="1">
      <c r="A61" s="431" t="s">
        <v>2444</v>
      </c>
      <c r="B61" s="431"/>
      <c r="C61" s="431"/>
      <c r="D61" s="431"/>
      <c r="E61" s="431"/>
      <c r="F61" s="431"/>
      <c r="G61" s="432"/>
      <c r="H61" s="19">
        <v>263</v>
      </c>
      <c r="I61" s="77"/>
      <c r="J61" s="77"/>
    </row>
    <row r="62" spans="1:10" s="2" customFormat="1" ht="13.5" customHeight="1">
      <c r="A62" s="404" t="s">
        <v>2438</v>
      </c>
      <c r="B62" s="404"/>
      <c r="C62" s="404"/>
      <c r="D62" s="404"/>
      <c r="E62" s="404"/>
      <c r="F62" s="404"/>
      <c r="G62" s="427"/>
      <c r="H62" s="19">
        <v>264</v>
      </c>
      <c r="I62" s="77"/>
      <c r="J62" s="77"/>
    </row>
    <row r="63" spans="1:10" s="2" customFormat="1" ht="13.5" customHeight="1">
      <c r="A63" s="404" t="s">
        <v>2439</v>
      </c>
      <c r="B63" s="404"/>
      <c r="C63" s="404"/>
      <c r="D63" s="404"/>
      <c r="E63" s="404"/>
      <c r="F63" s="404"/>
      <c r="G63" s="427"/>
      <c r="H63" s="19">
        <v>265</v>
      </c>
      <c r="I63" s="77"/>
      <c r="J63" s="77"/>
    </row>
    <row r="64" spans="1:10" s="2" customFormat="1" ht="13.5" customHeight="1">
      <c r="A64" s="404" t="s">
        <v>2440</v>
      </c>
      <c r="B64" s="404"/>
      <c r="C64" s="404"/>
      <c r="D64" s="404"/>
      <c r="E64" s="404"/>
      <c r="F64" s="404"/>
      <c r="G64" s="427"/>
      <c r="H64" s="19">
        <v>266</v>
      </c>
      <c r="I64" s="77"/>
      <c r="J64" s="77"/>
    </row>
    <row r="65" spans="1:10" s="2" customFormat="1" ht="13.5" customHeight="1">
      <c r="A65" s="404" t="s">
        <v>2441</v>
      </c>
      <c r="B65" s="404"/>
      <c r="C65" s="404"/>
      <c r="D65" s="404"/>
      <c r="E65" s="404"/>
      <c r="F65" s="404"/>
      <c r="G65" s="427"/>
      <c r="H65" s="19">
        <v>267</v>
      </c>
      <c r="I65" s="77"/>
      <c r="J65" s="77"/>
    </row>
    <row r="66" spans="1:10" s="2" customFormat="1" ht="13.5" customHeight="1">
      <c r="A66" s="431" t="s">
        <v>2902</v>
      </c>
      <c r="B66" s="431"/>
      <c r="C66" s="431"/>
      <c r="D66" s="431"/>
      <c r="E66" s="431"/>
      <c r="F66" s="431"/>
      <c r="G66" s="432"/>
      <c r="H66" s="19">
        <v>268</v>
      </c>
      <c r="I66" s="77"/>
      <c r="J66" s="77"/>
    </row>
    <row r="67" spans="1:10" s="2" customFormat="1" ht="24.75" customHeight="1">
      <c r="A67" s="404" t="s">
        <v>2219</v>
      </c>
      <c r="B67" s="404"/>
      <c r="C67" s="404"/>
      <c r="D67" s="404"/>
      <c r="E67" s="404"/>
      <c r="F67" s="404"/>
      <c r="G67" s="427"/>
      <c r="H67" s="19">
        <v>269</v>
      </c>
      <c r="I67" s="77"/>
      <c r="J67" s="77"/>
    </row>
    <row r="68" spans="1:10" s="2" customFormat="1" ht="13.5" customHeight="1">
      <c r="A68" s="404" t="s">
        <v>2447</v>
      </c>
      <c r="B68" s="404"/>
      <c r="C68" s="404"/>
      <c r="D68" s="404"/>
      <c r="E68" s="404"/>
      <c r="F68" s="404"/>
      <c r="G68" s="427"/>
      <c r="H68" s="19">
        <v>270</v>
      </c>
      <c r="I68" s="77"/>
      <c r="J68" s="77"/>
    </row>
    <row r="69" spans="1:10" s="2" customFormat="1" ht="13.5" customHeight="1">
      <c r="A69" s="404" t="s">
        <v>2446</v>
      </c>
      <c r="B69" s="404"/>
      <c r="C69" s="404"/>
      <c r="D69" s="404"/>
      <c r="E69" s="404"/>
      <c r="F69" s="404"/>
      <c r="G69" s="427"/>
      <c r="H69" s="19">
        <v>271</v>
      </c>
      <c r="I69" s="77"/>
      <c r="J69" s="77"/>
    </row>
    <row r="70" spans="1:10" s="2" customFormat="1" ht="24.75" customHeight="1">
      <c r="A70" s="404" t="s">
        <v>2445</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2220</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7" activePane="bottomLeft" state="frozen"/>
      <selection pane="topLeft" activeCell="A1" sqref="A1"/>
      <selection pane="bottomLeft" activeCell="I19" sqref="I19"/>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t="s">
        <v>2967</v>
      </c>
      <c r="I9" s="142">
        <v>593622</v>
      </c>
      <c r="J9" s="142">
        <v>480593</v>
      </c>
    </row>
    <row r="10" spans="1:10" s="2" customFormat="1" ht="13.5" customHeight="1">
      <c r="A10" s="404" t="s">
        <v>238</v>
      </c>
      <c r="B10" s="404"/>
      <c r="C10" s="404"/>
      <c r="D10" s="404"/>
      <c r="E10" s="404"/>
      <c r="F10" s="404"/>
      <c r="G10" s="19">
        <v>2</v>
      </c>
      <c r="H10" s="23"/>
      <c r="I10" s="125">
        <f>SUM(I11:I18)</f>
        <v>20595449</v>
      </c>
      <c r="J10" s="125">
        <f>SUM(J11:J18)</f>
        <v>10424006</v>
      </c>
    </row>
    <row r="11" spans="1:10" s="2" customFormat="1" ht="13.5" customHeight="1">
      <c r="A11" s="431" t="s">
        <v>2334</v>
      </c>
      <c r="B11" s="431"/>
      <c r="C11" s="431"/>
      <c r="D11" s="431"/>
      <c r="E11" s="431"/>
      <c r="F11" s="431"/>
      <c r="G11" s="19">
        <v>3</v>
      </c>
      <c r="H11" s="23" t="s">
        <v>2968</v>
      </c>
      <c r="I11" s="126">
        <v>15524769</v>
      </c>
      <c r="J11" s="126">
        <v>16805848</v>
      </c>
    </row>
    <row r="12" spans="1:10" s="2" customFormat="1" ht="24.75" customHeight="1">
      <c r="A12" s="431" t="s">
        <v>2909</v>
      </c>
      <c r="B12" s="431"/>
      <c r="C12" s="431"/>
      <c r="D12" s="431"/>
      <c r="E12" s="431"/>
      <c r="F12" s="431"/>
      <c r="G12" s="19">
        <v>4</v>
      </c>
      <c r="H12" s="23"/>
      <c r="I12" s="126"/>
      <c r="J12" s="126"/>
    </row>
    <row r="13" spans="1:10" s="2" customFormat="1" ht="24.75" customHeight="1">
      <c r="A13" s="431" t="s">
        <v>2910</v>
      </c>
      <c r="B13" s="431"/>
      <c r="C13" s="431"/>
      <c r="D13" s="431"/>
      <c r="E13" s="431"/>
      <c r="F13" s="431"/>
      <c r="G13" s="19">
        <v>5</v>
      </c>
      <c r="H13" s="23" t="s">
        <v>2969</v>
      </c>
      <c r="I13" s="126">
        <v>1002702</v>
      </c>
      <c r="J13" s="126">
        <v>1814325</v>
      </c>
    </row>
    <row r="14" spans="1:12" s="2" customFormat="1" ht="13.5" customHeight="1">
      <c r="A14" s="431" t="s">
        <v>2335</v>
      </c>
      <c r="B14" s="431"/>
      <c r="C14" s="431"/>
      <c r="D14" s="431"/>
      <c r="E14" s="431"/>
      <c r="F14" s="431"/>
      <c r="G14" s="19">
        <v>6</v>
      </c>
      <c r="H14" s="23" t="s">
        <v>2970</v>
      </c>
      <c r="I14" s="126">
        <v>-3479163</v>
      </c>
      <c r="J14" s="126">
        <v>-1155186</v>
      </c>
      <c r="L14" s="73"/>
    </row>
    <row r="15" spans="1:10" s="2" customFormat="1" ht="13.5" customHeight="1">
      <c r="A15" s="431" t="s">
        <v>2336</v>
      </c>
      <c r="B15" s="431"/>
      <c r="C15" s="431"/>
      <c r="D15" s="431"/>
      <c r="E15" s="431"/>
      <c r="F15" s="431"/>
      <c r="G15" s="19">
        <v>7</v>
      </c>
      <c r="H15" s="23" t="s">
        <v>2971</v>
      </c>
      <c r="I15" s="126">
        <v>61150</v>
      </c>
      <c r="J15" s="126">
        <v>43185</v>
      </c>
    </row>
    <row r="16" spans="1:10" s="2" customFormat="1" ht="13.5" customHeight="1">
      <c r="A16" s="431" t="s">
        <v>2337</v>
      </c>
      <c r="B16" s="431"/>
      <c r="C16" s="431"/>
      <c r="D16" s="431"/>
      <c r="E16" s="431"/>
      <c r="F16" s="431"/>
      <c r="G16" s="19">
        <v>8</v>
      </c>
      <c r="H16" s="23"/>
      <c r="I16" s="126"/>
      <c r="J16" s="126"/>
    </row>
    <row r="17" spans="1:10" s="2" customFormat="1" ht="13.5" customHeight="1">
      <c r="A17" s="431" t="s">
        <v>2338</v>
      </c>
      <c r="B17" s="431"/>
      <c r="C17" s="431"/>
      <c r="D17" s="431"/>
      <c r="E17" s="431"/>
      <c r="F17" s="431"/>
      <c r="G17" s="19">
        <v>9</v>
      </c>
      <c r="H17" s="23"/>
      <c r="I17" s="126"/>
      <c r="J17" s="126"/>
    </row>
    <row r="18" spans="1:10" s="2" customFormat="1" ht="13.5" customHeight="1">
      <c r="A18" s="431" t="s">
        <v>2908</v>
      </c>
      <c r="B18" s="431"/>
      <c r="C18" s="431"/>
      <c r="D18" s="431"/>
      <c r="E18" s="431"/>
      <c r="F18" s="431"/>
      <c r="G18" s="19">
        <v>10</v>
      </c>
      <c r="H18" s="23"/>
      <c r="I18" s="126">
        <v>7485991</v>
      </c>
      <c r="J18" s="126">
        <v>-7084166</v>
      </c>
    </row>
    <row r="19" spans="1:14" s="2" customFormat="1" ht="24.75" customHeight="1">
      <c r="A19" s="405" t="s">
        <v>2907</v>
      </c>
      <c r="B19" s="405"/>
      <c r="C19" s="405"/>
      <c r="D19" s="405"/>
      <c r="E19" s="405"/>
      <c r="F19" s="405"/>
      <c r="G19" s="19">
        <v>11</v>
      </c>
      <c r="H19" s="23"/>
      <c r="I19" s="125">
        <f>I9+I10</f>
        <v>21189071</v>
      </c>
      <c r="J19" s="125">
        <f>J9+J10</f>
        <v>10904599</v>
      </c>
      <c r="N19" s="2">
        <f>IF(MIN(NT_I!I11:J11,NT_I!I15:J15,NT_I!I30:J36,NT_I!I59:J60)&lt;0,1,0)</f>
        <v>0</v>
      </c>
    </row>
    <row r="20" spans="1:10" s="2" customFormat="1" ht="13.5" customHeight="1">
      <c r="A20" s="404" t="s">
        <v>461</v>
      </c>
      <c r="B20" s="404"/>
      <c r="C20" s="404"/>
      <c r="D20" s="404"/>
      <c r="E20" s="404"/>
      <c r="F20" s="404"/>
      <c r="G20" s="19">
        <v>12</v>
      </c>
      <c r="H20" s="23"/>
      <c r="I20" s="125">
        <f>SUM(I21:I24)</f>
        <v>-11476421</v>
      </c>
      <c r="J20" s="125">
        <f>SUM(J21:J24)</f>
        <v>-3011891</v>
      </c>
    </row>
    <row r="21" spans="1:10" s="2" customFormat="1" ht="13.5" customHeight="1">
      <c r="A21" s="431" t="s">
        <v>2052</v>
      </c>
      <c r="B21" s="431"/>
      <c r="C21" s="431"/>
      <c r="D21" s="431"/>
      <c r="E21" s="431"/>
      <c r="F21" s="431"/>
      <c r="G21" s="19">
        <v>13</v>
      </c>
      <c r="H21" s="23" t="s">
        <v>2972</v>
      </c>
      <c r="I21" s="126">
        <v>1968807</v>
      </c>
      <c r="J21" s="126">
        <v>-1959846</v>
      </c>
    </row>
    <row r="22" spans="1:10" s="2" customFormat="1" ht="13.5" customHeight="1">
      <c r="A22" s="431" t="s">
        <v>2053</v>
      </c>
      <c r="B22" s="431"/>
      <c r="C22" s="431"/>
      <c r="D22" s="431"/>
      <c r="E22" s="431"/>
      <c r="F22" s="431"/>
      <c r="G22" s="19">
        <v>14</v>
      </c>
      <c r="H22" s="23" t="s">
        <v>2973</v>
      </c>
      <c r="I22" s="126">
        <v>5964101</v>
      </c>
      <c r="J22" s="126">
        <v>466491</v>
      </c>
    </row>
    <row r="23" spans="1:10" s="2" customFormat="1" ht="13.5" customHeight="1">
      <c r="A23" s="431" t="s">
        <v>2054</v>
      </c>
      <c r="B23" s="431"/>
      <c r="C23" s="431"/>
      <c r="D23" s="431"/>
      <c r="E23" s="431"/>
      <c r="F23" s="431"/>
      <c r="G23" s="19">
        <v>15</v>
      </c>
      <c r="H23" s="23" t="s">
        <v>2974</v>
      </c>
      <c r="I23" s="126">
        <v>-618873</v>
      </c>
      <c r="J23" s="126">
        <v>-1071410</v>
      </c>
    </row>
    <row r="24" spans="1:10" s="2" customFormat="1" ht="13.5" customHeight="1">
      <c r="A24" s="431" t="s">
        <v>2055</v>
      </c>
      <c r="B24" s="431"/>
      <c r="C24" s="431"/>
      <c r="D24" s="431"/>
      <c r="E24" s="431"/>
      <c r="F24" s="431"/>
      <c r="G24" s="19">
        <v>16</v>
      </c>
      <c r="H24" s="23"/>
      <c r="I24" s="126">
        <v>-18790456</v>
      </c>
      <c r="J24" s="126">
        <v>-447126</v>
      </c>
    </row>
    <row r="25" spans="1:10" s="2" customFormat="1" ht="13.5" customHeight="1">
      <c r="A25" s="405" t="s">
        <v>2523</v>
      </c>
      <c r="B25" s="405"/>
      <c r="C25" s="405"/>
      <c r="D25" s="405"/>
      <c r="E25" s="405"/>
      <c r="F25" s="405"/>
      <c r="G25" s="19">
        <v>17</v>
      </c>
      <c r="H25" s="23"/>
      <c r="I25" s="125">
        <f>I19+I20</f>
        <v>9712650</v>
      </c>
      <c r="J25" s="125">
        <f>J19+J20</f>
        <v>7892708</v>
      </c>
    </row>
    <row r="26" spans="1:10" s="2" customFormat="1" ht="13.5" customHeight="1">
      <c r="A26" s="404" t="s">
        <v>226</v>
      </c>
      <c r="B26" s="404"/>
      <c r="C26" s="404"/>
      <c r="D26" s="404"/>
      <c r="E26" s="404"/>
      <c r="F26" s="404"/>
      <c r="G26" s="19">
        <v>18</v>
      </c>
      <c r="H26" s="23" t="s">
        <v>2971</v>
      </c>
      <c r="I26" s="126">
        <v>-61150</v>
      </c>
      <c r="J26" s="126">
        <v>-43185</v>
      </c>
    </row>
    <row r="27" spans="1:10" s="2" customFormat="1" ht="13.5" customHeight="1">
      <c r="A27" s="404" t="s">
        <v>227</v>
      </c>
      <c r="B27" s="404"/>
      <c r="C27" s="404"/>
      <c r="D27" s="404"/>
      <c r="E27" s="404"/>
      <c r="F27" s="404"/>
      <c r="G27" s="19">
        <v>19</v>
      </c>
      <c r="H27" s="23"/>
      <c r="I27" s="126">
        <v>-294124</v>
      </c>
      <c r="J27" s="126">
        <v>-666011</v>
      </c>
    </row>
    <row r="28" spans="1:10" s="2" customFormat="1" ht="13.5" customHeight="1">
      <c r="A28" s="455" t="s">
        <v>237</v>
      </c>
      <c r="B28" s="455"/>
      <c r="C28" s="455"/>
      <c r="D28" s="455"/>
      <c r="E28" s="455"/>
      <c r="F28" s="455"/>
      <c r="G28" s="21">
        <v>20</v>
      </c>
      <c r="H28" s="24"/>
      <c r="I28" s="127">
        <f>SUM(I25:I27)</f>
        <v>9357376</v>
      </c>
      <c r="J28" s="127">
        <f>SUM(J25:J27)</f>
        <v>7183512</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t="s">
        <v>2968</v>
      </c>
      <c r="I30" s="94">
        <v>7529</v>
      </c>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t="s">
        <v>2975</v>
      </c>
      <c r="I35" s="77">
        <v>9257494</v>
      </c>
      <c r="J35" s="77">
        <v>7132118</v>
      </c>
    </row>
    <row r="36" spans="1:10" s="2" customFormat="1" ht="13.5" customHeight="1">
      <c r="A36" s="405" t="s">
        <v>2522</v>
      </c>
      <c r="B36" s="405"/>
      <c r="C36" s="405"/>
      <c r="D36" s="405"/>
      <c r="E36" s="405"/>
      <c r="F36" s="405"/>
      <c r="G36" s="19">
        <v>27</v>
      </c>
      <c r="H36" s="23"/>
      <c r="I36" s="86">
        <f>SUM(I30:I35)</f>
        <v>9265023</v>
      </c>
      <c r="J36" s="86">
        <f>SUM(J30:J35)</f>
        <v>7132118</v>
      </c>
    </row>
    <row r="37" spans="1:10" s="2" customFormat="1" ht="13.5" customHeight="1">
      <c r="A37" s="404" t="s">
        <v>233</v>
      </c>
      <c r="B37" s="404"/>
      <c r="C37" s="404"/>
      <c r="D37" s="404"/>
      <c r="E37" s="404"/>
      <c r="F37" s="404"/>
      <c r="G37" s="19">
        <v>28</v>
      </c>
      <c r="H37" s="23" t="s">
        <v>2968</v>
      </c>
      <c r="I37" s="77">
        <v>-13003027</v>
      </c>
      <c r="J37" s="77">
        <v>-12516518</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2425</v>
      </c>
      <c r="B42" s="405"/>
      <c r="C42" s="405"/>
      <c r="D42" s="405"/>
      <c r="E42" s="405"/>
      <c r="F42" s="405"/>
      <c r="G42" s="19">
        <v>33</v>
      </c>
      <c r="H42" s="23"/>
      <c r="I42" s="86">
        <f>SUM(I37:I41)</f>
        <v>-13003027</v>
      </c>
      <c r="J42" s="86">
        <f>SUM(J37:J41)</f>
        <v>-12516518</v>
      </c>
    </row>
    <row r="43" spans="1:10" s="2" customFormat="1" ht="13.5" customHeight="1">
      <c r="A43" s="455" t="s">
        <v>2510</v>
      </c>
      <c r="B43" s="455"/>
      <c r="C43" s="455"/>
      <c r="D43" s="455"/>
      <c r="E43" s="455"/>
      <c r="F43" s="455"/>
      <c r="G43" s="21">
        <v>34</v>
      </c>
      <c r="H43" s="24"/>
      <c r="I43" s="87">
        <f>I36+I42</f>
        <v>-3738004</v>
      </c>
      <c r="J43" s="87">
        <f>J36+J42</f>
        <v>-5384400</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c r="J45" s="94"/>
    </row>
    <row r="46" spans="1:10" s="2" customFormat="1" ht="13.5" customHeight="1">
      <c r="A46" s="404" t="s">
        <v>2430</v>
      </c>
      <c r="B46" s="404"/>
      <c r="C46" s="404"/>
      <c r="D46" s="404"/>
      <c r="E46" s="404"/>
      <c r="F46" s="404"/>
      <c r="G46" s="19">
        <v>36</v>
      </c>
      <c r="H46" s="23"/>
      <c r="I46" s="77"/>
      <c r="J46" s="77"/>
    </row>
    <row r="47" spans="1:10" s="2" customFormat="1" ht="13.5" customHeight="1">
      <c r="A47" s="404" t="s">
        <v>2431</v>
      </c>
      <c r="B47" s="404"/>
      <c r="C47" s="404"/>
      <c r="D47" s="404"/>
      <c r="E47" s="404"/>
      <c r="F47" s="404"/>
      <c r="G47" s="19">
        <v>37</v>
      </c>
      <c r="H47" s="23"/>
      <c r="I47" s="77"/>
      <c r="J47" s="77"/>
    </row>
    <row r="48" spans="1:10" s="2" customFormat="1" ht="13.5" customHeight="1">
      <c r="A48" s="404" t="s">
        <v>2432</v>
      </c>
      <c r="B48" s="404"/>
      <c r="C48" s="404"/>
      <c r="D48" s="404"/>
      <c r="E48" s="404"/>
      <c r="F48" s="404"/>
      <c r="G48" s="19">
        <v>38</v>
      </c>
      <c r="H48" s="23" t="s">
        <v>2976</v>
      </c>
      <c r="I48" s="77"/>
      <c r="J48" s="77">
        <v>1411662</v>
      </c>
    </row>
    <row r="49" spans="1:10" s="2" customFormat="1" ht="13.5" customHeight="1">
      <c r="A49" s="405" t="s">
        <v>2521</v>
      </c>
      <c r="B49" s="405"/>
      <c r="C49" s="405"/>
      <c r="D49" s="405"/>
      <c r="E49" s="405"/>
      <c r="F49" s="405"/>
      <c r="G49" s="19">
        <v>39</v>
      </c>
      <c r="H49" s="23"/>
      <c r="I49" s="86">
        <f>SUM(I45:I48)</f>
        <v>0</v>
      </c>
      <c r="J49" s="86">
        <f>SUM(J45:J48)</f>
        <v>1411662</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t="s">
        <v>2976</v>
      </c>
      <c r="I52" s="77">
        <v>-246353</v>
      </c>
      <c r="J52" s="77">
        <v>-785829</v>
      </c>
    </row>
    <row r="53" spans="1:10" s="2" customFormat="1" ht="13.5" customHeight="1">
      <c r="A53" s="404" t="s">
        <v>1737</v>
      </c>
      <c r="B53" s="404"/>
      <c r="C53" s="404"/>
      <c r="D53" s="404"/>
      <c r="E53" s="404"/>
      <c r="F53" s="404"/>
      <c r="G53" s="19">
        <v>43</v>
      </c>
      <c r="H53" s="23"/>
      <c r="I53" s="77"/>
      <c r="J53" s="77"/>
    </row>
    <row r="54" spans="1:10" s="2" customFormat="1" ht="13.5" customHeight="1">
      <c r="A54" s="404" t="s">
        <v>2911</v>
      </c>
      <c r="B54" s="404"/>
      <c r="C54" s="404"/>
      <c r="D54" s="404"/>
      <c r="E54" s="404"/>
      <c r="F54" s="404"/>
      <c r="G54" s="19">
        <v>44</v>
      </c>
      <c r="H54" s="23"/>
      <c r="I54" s="77"/>
      <c r="J54" s="77"/>
    </row>
    <row r="55" spans="1:10" s="2" customFormat="1" ht="13.5" customHeight="1">
      <c r="A55" s="405" t="s">
        <v>2912</v>
      </c>
      <c r="B55" s="405"/>
      <c r="C55" s="405"/>
      <c r="D55" s="405"/>
      <c r="E55" s="405"/>
      <c r="F55" s="405"/>
      <c r="G55" s="19">
        <v>45</v>
      </c>
      <c r="H55" s="23"/>
      <c r="I55" s="86">
        <f>SUM(I50:I54)</f>
        <v>-246353</v>
      </c>
      <c r="J55" s="86">
        <f>SUM(J50:J54)</f>
        <v>-785829</v>
      </c>
    </row>
    <row r="56" spans="1:10" s="2" customFormat="1" ht="13.5" customHeight="1">
      <c r="A56" s="409" t="s">
        <v>9</v>
      </c>
      <c r="B56" s="409"/>
      <c r="C56" s="409"/>
      <c r="D56" s="409"/>
      <c r="E56" s="409"/>
      <c r="F56" s="409"/>
      <c r="G56" s="19">
        <v>46</v>
      </c>
      <c r="H56" s="23"/>
      <c r="I56" s="86">
        <f>I49+I55</f>
        <v>-246353</v>
      </c>
      <c r="J56" s="86">
        <f>J49+J55</f>
        <v>625833</v>
      </c>
    </row>
    <row r="57" spans="1:10" s="2" customFormat="1" ht="13.5" customHeight="1">
      <c r="A57" s="381" t="s">
        <v>2427</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5373019</v>
      </c>
      <c r="J58" s="86">
        <f>J28+J43+J56+J57</f>
        <v>2424945</v>
      </c>
    </row>
    <row r="59" spans="1:10" s="2" customFormat="1" ht="13.5" customHeight="1">
      <c r="A59" s="409" t="s">
        <v>2428</v>
      </c>
      <c r="B59" s="409"/>
      <c r="C59" s="409"/>
      <c r="D59" s="409"/>
      <c r="E59" s="409"/>
      <c r="F59" s="409"/>
      <c r="G59" s="19">
        <v>49</v>
      </c>
      <c r="H59" s="23" t="s">
        <v>2977</v>
      </c>
      <c r="I59" s="77">
        <v>8559515</v>
      </c>
      <c r="J59" s="77">
        <v>13932534</v>
      </c>
    </row>
    <row r="60" spans="1:18" s="2" customFormat="1" ht="13.5" customHeight="1">
      <c r="A60" s="455" t="s">
        <v>1734</v>
      </c>
      <c r="B60" s="455"/>
      <c r="C60" s="455"/>
      <c r="D60" s="455"/>
      <c r="E60" s="455"/>
      <c r="F60" s="455"/>
      <c r="G60" s="21">
        <v>50</v>
      </c>
      <c r="H60" s="24"/>
      <c r="I60" s="87">
        <f>I59+I58</f>
        <v>13932534</v>
      </c>
      <c r="J60" s="87">
        <f>J59+J58</f>
        <v>16357479</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89406825003; VODOVOD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L1">
      <pane ySplit="1" topLeftCell="A50" activePane="bottomLeft" state="frozen"/>
      <selection pane="topLeft" activeCell="A1" sqref="A1"/>
      <selection pane="bottomLeft" activeCell="T56" sqref="T56"/>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89406825003; VODOVOD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159483800</v>
      </c>
      <c r="J10" s="25"/>
      <c r="K10" s="25"/>
      <c r="L10" s="25"/>
      <c r="M10" s="25"/>
      <c r="N10" s="25"/>
      <c r="O10" s="25"/>
      <c r="P10" s="25"/>
      <c r="Q10" s="25"/>
      <c r="R10" s="25"/>
      <c r="S10" s="25"/>
      <c r="T10" s="25">
        <v>207001</v>
      </c>
      <c r="U10" s="25">
        <v>66872</v>
      </c>
      <c r="V10" s="207">
        <f>SUM(I10:L10)-M10+SUM(N10:U10)</f>
        <v>159757673</v>
      </c>
      <c r="W10" s="25"/>
      <c r="X10" s="207">
        <f>W10+V10</f>
        <v>159757673</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159483800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207001</v>
      </c>
      <c r="U13" s="207">
        <f t="shared" si="2"/>
        <v>66872</v>
      </c>
      <c r="V13" s="207">
        <f t="shared" si="0"/>
        <v>159757673</v>
      </c>
      <c r="W13" s="207">
        <f>SUM(W10:W12)</f>
        <v>0</v>
      </c>
      <c r="X13" s="207">
        <f t="shared" si="1"/>
        <v>159757673</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98825</v>
      </c>
      <c r="V14" s="207">
        <f t="shared" si="0"/>
        <v>98825</v>
      </c>
      <c r="W14" s="25"/>
      <c r="X14" s="207">
        <f t="shared" si="1"/>
        <v>98825</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66872</v>
      </c>
      <c r="U30" s="25">
        <v>-66872</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159483800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273873</v>
      </c>
      <c r="U32" s="206">
        <f t="shared" si="3"/>
        <v>98825</v>
      </c>
      <c r="V32" s="206">
        <f t="shared" si="0"/>
        <v>159856498</v>
      </c>
      <c r="W32" s="206">
        <f>SUM(W13:W31)</f>
        <v>0</v>
      </c>
      <c r="X32" s="206">
        <f t="shared" si="1"/>
        <v>159856498</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98825</v>
      </c>
      <c r="V35" s="207">
        <f t="shared" si="7"/>
        <v>98825</v>
      </c>
      <c r="W35" s="207">
        <f t="shared" si="7"/>
        <v>0</v>
      </c>
      <c r="X35" s="207">
        <f t="shared" si="7"/>
        <v>98825</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66872</v>
      </c>
      <c r="U36" s="206">
        <f t="shared" si="9"/>
        <v>-66872</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159483800</v>
      </c>
      <c r="J38" s="25"/>
      <c r="K38" s="25"/>
      <c r="L38" s="25"/>
      <c r="M38" s="25"/>
      <c r="N38" s="25"/>
      <c r="O38" s="25"/>
      <c r="P38" s="25"/>
      <c r="Q38" s="25"/>
      <c r="R38" s="25"/>
      <c r="S38" s="25"/>
      <c r="T38" s="25">
        <v>273874</v>
      </c>
      <c r="U38" s="25">
        <v>98825</v>
      </c>
      <c r="V38" s="207">
        <f aca="true" t="shared" si="10" ref="V38:V60">SUM(I38:L38)-M38+SUM(N38:U38)</f>
        <v>159856499</v>
      </c>
      <c r="W38" s="25"/>
      <c r="X38" s="207">
        <f t="shared" si="1"/>
        <v>159856499</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159483800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273874</v>
      </c>
      <c r="U41" s="207">
        <f t="shared" si="11"/>
        <v>98825</v>
      </c>
      <c r="V41" s="207">
        <f t="shared" si="10"/>
        <v>159856499</v>
      </c>
      <c r="W41" s="207">
        <f>SUM(W38:W40)</f>
        <v>0</v>
      </c>
      <c r="X41" s="207">
        <f>W41+V41</f>
        <v>159856499</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15253</v>
      </c>
      <c r="V42" s="207">
        <f t="shared" si="10"/>
        <v>15253</v>
      </c>
      <c r="W42" s="25"/>
      <c r="X42" s="207">
        <f t="shared" si="1"/>
        <v>15253</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98825</v>
      </c>
      <c r="U58" s="25">
        <v>-98825</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159483800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372699</v>
      </c>
      <c r="U60" s="206">
        <f t="shared" si="12"/>
        <v>15253</v>
      </c>
      <c r="V60" s="206">
        <f t="shared" si="10"/>
        <v>159871752</v>
      </c>
      <c r="W60" s="206">
        <f>SUM(W41:W59)</f>
        <v>0</v>
      </c>
      <c r="X60" s="206">
        <f t="shared" si="1"/>
        <v>159871752</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15253</v>
      </c>
      <c r="V63" s="207">
        <f t="shared" si="16"/>
        <v>15253</v>
      </c>
      <c r="W63" s="207">
        <f t="shared" si="16"/>
        <v>0</v>
      </c>
      <c r="X63" s="207">
        <f t="shared" si="16"/>
        <v>15253</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98825</v>
      </c>
      <c r="U64" s="206">
        <f t="shared" si="18"/>
        <v>-98825</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2019-05-07T06:36:26Z</cp:lastPrinted>
  <dcterms:created xsi:type="dcterms:W3CDTF">2008-10-17T11:51:54Z</dcterms:created>
  <dcterms:modified xsi:type="dcterms:W3CDTF">2019-05-30T12:48:58Z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