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 windowWidth="12870" windowHeight="7320" firstSheet="2"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<sst xmlns="http://schemas.openxmlformats.org/spreadsheetml/2006/main" count="4968" uniqueCount="3002">
  <si>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</si>
  <si>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</si>
  <si>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</si>
  <si>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</si>
  <si>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</si>
  <si>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</si>
  <si>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</si>
  <si>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</si>
  <si>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</si>
  <si>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</si>
  <si>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</si>
  <si>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</si>
  <si>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</si>
  <si>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</si>
  <si>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</si>
  <si>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</si>
  <si>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</si>
  <si>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</si>
  <si>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</si>
  <si>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</si>
  <si>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</si>
  <si>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</si>
  <si>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</si>
  <si>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</si>
  <si>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</si>
  <si>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</si>
  <si>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</si>
  <si>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</si>
  <si>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</si>
  <si>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</si>
  <si>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</si>
  <si>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</si>
  <si>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</si>
  <si>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</si>
  <si>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</si>
  <si>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</si>
  <si>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</si>
  <si>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</si>
  <si>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</si>
  <si>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</si>
  <si>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</si>
  <si>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</si>
  <si>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</si>
  <si>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</si>
  <si>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</si>
  <si>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</si>
  <si>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</si>
  <si>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</si>
  <si>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</si>
  <si>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</si>
  <si>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</si>
  <si>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</si>
  <si>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</si>
  <si>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</si>
  <si>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</si>
  <si>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</si>
  <si>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</si>
  <si>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</si>
  <si>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</si>
  <si>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</si>
  <si>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</si>
  <si>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</si>
  <si>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</si>
  <si>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</si>
  <si>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</si>
  <si>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</si>
  <si>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</si>
  <si>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</si>
  <si>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</si>
  <si>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</si>
  <si>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</si>
  <si>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</si>
  <si>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</si>
  <si>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</si>
  <si>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</si>
  <si>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</si>
  <si>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</si>
  <si>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</si>
  <si>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</si>
  <si>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</si>
  <si>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</si>
  <si>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</si>
  <si>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</si>
  <si>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</si>
  <si>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</si>
  <si>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</si>
  <si>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</si>
  <si>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</si>
  <si>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</si>
  <si>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</si>
  <si>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</si>
  <si>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</si>
  <si>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</si>
  <si>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</si>
  <si>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</si>
  <si>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</si>
  <si>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</si>
  <si>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</si>
  <si>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</si>
  <si>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</si>
  <si>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</si>
  <si>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</si>
  <si>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</si>
  <si>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</si>
  <si>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</si>
  <si>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</si>
  <si>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</si>
  <si>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</si>
  <si>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</si>
  <si>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</si>
  <si>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</si>
  <si>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</si>
  <si>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</si>
  <si>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</si>
  <si>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</si>
  <si>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</si>
  <si>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</si>
  <si>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</si>
  <si>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</si>
  <si>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</si>
  <si>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</si>
  <si>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</si>
  <si>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</si>
  <si>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</si>
  <si>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</si>
  <si>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</si>
  <si>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</si>
  <si>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</si>
  <si>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</si>
  <si>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</si>
  <si>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</si>
  <si>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</si>
  <si>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</si>
  <si>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</si>
  <si>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</si>
  <si>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</si>
  <si>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</si>
  <si>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</si>
  <si>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</si>
  <si>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</si>
  <si>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</si>
  <si>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</si>
  <si>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</si>
  <si>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</si>
  <si>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</si>
  <si>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</si>
  <si>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</si>
  <si>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</si>
  <si>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</si>
  <si>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</si>
  <si>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</si>
  <si>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</si>
  <si>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</si>
  <si>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</si>
  <si>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</si>
  <si>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</si>
  <si>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</si>
  <si>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</si>
  <si>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</si>
  <si>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</si>
  <si>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</si>
  <si>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</si>
  <si>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</si>
  <si>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</si>
  <si>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</si>
  <si>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</si>
  <si>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</si>
  <si>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</si>
  <si>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</si>
  <si>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</si>
  <si>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</si>
  <si>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</si>
  <si>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</si>
  <si>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</si>
  <si>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</si>
  <si>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</si>
  <si>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</si>
  <si>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</si>
  <si>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</si>
  <si>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</si>
  <si>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</si>
  <si>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</si>
  <si>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</si>
  <si>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</si>
  <si>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</si>
  <si>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</si>
  <si>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</si>
  <si>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</si>
  <si>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</si>
  <si>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</si>
  <si>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</si>
  <si>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</si>
  <si>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</si>
  <si>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</si>
  <si>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</si>
  <si>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</si>
  <si>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</si>
  <si>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</si>
  <si>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</si>
  <si>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</si>
  <si>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</si>
  <si>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</si>
  <si>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</si>
  <si>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</si>
  <si>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</si>
  <si>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</si>
  <si>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</si>
  <si>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</si>
  <si>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</si>
  <si>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</si>
  <si>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</si>
  <si>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</si>
  <si>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</si>
  <si>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</si>
  <si>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</si>
  <si>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</si>
  <si>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</si>
  <si>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</si>
  <si>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</si>
  <si>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</si>
  <si>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</si>
  <si>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</si>
  <si>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</si>
  <si>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</si>
  <si>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</si>
  <si>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</si>
  <si>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</si>
  <si>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</si>
  <si>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</si>
  <si>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</si>
  <si>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</si>
  <si>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</si>
  <si>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</si>
  <si>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</si>
  <si>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</si>
  <si>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</si>
  <si>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</si>
  <si>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</si>
  <si>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</si>
  <si>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</si>
  <si>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</si>
  <si>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</si>
  <si>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</si>
  <si>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</si>
  <si>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</si>
  <si>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</si>
  <si>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</si>
  <si>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</si>
  <si>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</si>
  <si>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</si>
  <si>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</si>
  <si>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</si>
  <si>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</si>
  <si>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</si>
  <si>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</si>
  <si>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</si>
  <si>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</si>
  <si>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</si>
  <si>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</si>
  <si>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</si>
  <si>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</si>
  <si>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</si>
  <si>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</si>
  <si>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</si>
  <si>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</si>
  <si>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</si>
  <si>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</si>
  <si>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</si>
  <si>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</si>
  <si>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</si>
  <si>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</si>
  <si>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</si>
  <si>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</si>
  <si>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</si>
  <si>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</si>
  <si>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</si>
  <si>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</si>
  <si>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</si>
  <si>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</si>
  <si>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</si>
  <si>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</si>
  <si>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</si>
  <si>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</si>
  <si>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</si>
  <si>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</si>
  <si>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</si>
  <si>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</si>
  <si>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</si>
  <si>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</si>
  <si>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</si>
  <si>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</si>
  <si>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</si>
  <si>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</si>
  <si>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</si>
  <si>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</si>
  <si>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</si>
  <si>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</si>
  <si>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</si>
  <si>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</si>
  <si>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</si>
  <si>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</si>
  <si>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</si>
  <si>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</si>
  <si>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</si>
  <si>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</si>
  <si>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</si>
  <si>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</si>
  <si>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</si>
  <si>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</si>
  <si>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</si>
  <si>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</si>
  <si>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</si>
  <si>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</si>
  <si>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</si>
  <si>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</si>
  <si>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</si>
  <si>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</si>
  <si>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</si>
  <si>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</si>
  <si>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</si>
  <si>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</si>
  <si>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</si>
  <si>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</si>
  <si>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</si>
  <si>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</si>
  <si>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</si>
  <si>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</si>
  <si>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</si>
  <si>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</si>
  <si>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</si>
  <si>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</si>
  <si>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</si>
  <si>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</si>
  <si>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</si>
  <si>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</si>
  <si>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</si>
  <si>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</si>
  <si>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</si>
  <si>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</si>
  <si>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</si>
  <si>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</si>
  <si>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</si>
  <si>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</si>
  <si>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</si>
  <si>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</si>
  <si>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</si>
  <si>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</si>
  <si>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</si>
  <si>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</si>
  <si>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</si>
  <si>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</si>
  <si>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</si>
  <si>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</si>
  <si>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</si>
  <si>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</si>
  <si>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</si>
  <si>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</si>
  <si>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</si>
  <si>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</si>
  <si>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</si>
  <si>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</si>
  <si>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</si>
  <si>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</si>
  <si>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</si>
  <si>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</si>
  <si>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</si>
  <si>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</si>
  <si>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</si>
  <si>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</si>
  <si>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</si>
  <si>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</si>
  <si>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</si>
  <si>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</si>
  <si>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</si>
  <si>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</si>
  <si>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</si>
  <si>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</si>
  <si>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</si>
  <si>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</si>
  <si>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</si>
  <si>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</si>
  <si>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</si>
  <si>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</si>
  <si>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</si>
  <si>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</si>
  <si>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</si>
  <si>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</si>
  <si>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</si>
  <si>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</si>
  <si>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</si>
  <si>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</si>
  <si>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</si>
  <si>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</si>
  <si>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</si>
  <si>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</si>
  <si>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</si>
  <si>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</si>
  <si>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</si>
  <si>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</si>
  <si>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</si>
  <si>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</si>
  <si>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</si>
  <si>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</si>
  <si>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</si>
  <si>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</si>
  <si>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</si>
  <si>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</si>
  <si>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</si>
  <si>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</si>
  <si>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</si>
  <si>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</si>
  <si>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</si>
  <si>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</si>
  <si>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</si>
  <si>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</si>
  <si>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</si>
  <si>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</si>
  <si>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</si>
  <si>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</si>
  <si>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</si>
  <si>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</si>
  <si>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</si>
  <si>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</si>
  <si>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</si>
  <si>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</si>
  <si>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</si>
  <si>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</si>
  <si>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</si>
  <si>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</si>
  <si>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</si>
  <si>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</si>
  <si>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</si>
  <si>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</si>
  <si>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</si>
  <si>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</si>
  <si>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</si>
  <si>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</si>
  <si>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</si>
  <si>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</si>
  <si>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</si>
  <si>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</si>
  <si>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</si>
  <si>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</si>
  <si>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</si>
  <si>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</si>
  <si>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</si>
  <si>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</si>
  <si>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</si>
  <si>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</si>
  <si>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</si>
  <si>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</si>
  <si>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</si>
  <si>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</si>
  <si>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</si>
  <si>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</si>
  <si>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</si>
  <si>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</si>
  <si>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</si>
  <si>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</si>
  <si>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</si>
  <si>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</si>
  <si>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</si>
  <si>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</si>
  <si>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</si>
  <si>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</si>
  <si>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</si>
  <si>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</si>
  <si>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</si>
  <si>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</si>
  <si>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</si>
  <si>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</si>
  <si>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</si>
  <si>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</si>
  <si>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</si>
  <si>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</si>
  <si>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</si>
  <si>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</si>
  <si>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</si>
  <si>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</si>
  <si>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</si>
  <si>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</si>
  <si>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</si>
  <si>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</si>
  <si>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</si>
  <si>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</si>
  <si>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</si>
  <si>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</si>
  <si>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</si>
  <si>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</si>
  <si>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</si>
  <si>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</si>
  <si>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</si>
  <si>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</si>
  <si>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</si>
  <si>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</si>
  <si>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</si>
  <si>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</si>
  <si>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</si>
  <si>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</si>
  <si>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</si>
  <si>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</si>
  <si>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</si>
  <si>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</si>
  <si>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</si>
  <si>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</si>
  <si>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</si>
  <si>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</si>
  <si>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</si>
  <si>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</si>
  <si>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</si>
  <si>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</si>
  <si>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</si>
  <si>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</si>
  <si>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</si>
  <si>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</si>
  <si>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</si>
  <si>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</si>
  <si>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</si>
  <si>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</si>
  <si>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</si>
  <si>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</si>
  <si>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</si>
  <si>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</si>
  <si>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</si>
  <si>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</si>
  <si>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</si>
  <si>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</si>
  <si>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</si>
  <si>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</si>
  <si>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</si>
  <si>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</si>
  <si>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</si>
  <si>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</si>
  <si>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</si>
  <si>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</si>
  <si>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</si>
  <si>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</si>
  <si>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</si>
  <si>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</si>
  <si>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</si>
  <si>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</si>
  <si>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</si>
  <si>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</si>
  <si>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</si>
  <si>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</si>
  <si>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</si>
  <si>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</si>
  <si>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</si>
  <si>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</si>
  <si>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</si>
  <si>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</si>
  <si>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</si>
  <si>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</si>
  <si>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</si>
  <si>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</si>
  <si>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</si>
  <si>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</si>
  <si>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</si>
  <si>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</si>
  <si>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</si>
  <si>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</si>
  <si>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</si>
  <si>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</si>
  <si>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</si>
  <si>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</si>
  <si>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</si>
  <si>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</si>
  <si>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</si>
  <si>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</si>
  <si>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</si>
  <si>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</si>
  <si>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</si>
  <si>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</si>
  <si>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</si>
  <si>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</si>
  <si>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</si>
  <si>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</si>
  <si>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</si>
  <si>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</si>
  <si>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</si>
  <si>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</si>
  <si>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</si>
  <si>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</si>
  <si>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</si>
  <si>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</si>
  <si>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</si>
  <si>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</si>
  <si>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</si>
  <si>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</si>
  <si>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</si>
  <si>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</si>
  <si>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</si>
  <si>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</si>
  <si>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</si>
  <si>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</si>
  <si>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</si>
  <si>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</si>
  <si>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</si>
  <si>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</si>
  <si>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</si>
  <si>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</si>
  <si>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</si>
  <si>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</si>
  <si>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</si>
  <si>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</si>
  <si>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</si>
  <si>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</si>
  <si>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</si>
  <si>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</si>
  <si>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</si>
  <si>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</si>
  <si>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</si>
  <si>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</si>
  <si>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</si>
  <si>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</si>
  <si>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</si>
  <si>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</si>
  <si>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</si>
  <si>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</si>
  <si>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</si>
  <si>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</si>
  <si>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</si>
  <si>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</si>
  <si>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</si>
  <si>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</si>
  <si>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</si>
  <si>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</si>
  <si>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</si>
  <si>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</si>
  <si>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</si>
  <si>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</si>
  <si>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</si>
  <si>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</si>
  <si>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</si>
  <si>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</si>
  <si>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</si>
  <si>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</si>
  <si>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</si>
  <si>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</si>
  <si>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</si>
  <si>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</si>
  <si>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</si>
  <si>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</si>
  <si>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</si>
  <si>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</si>
  <si>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</si>
  <si>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</si>
  <si>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</si>
  <si>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</si>
  <si>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</si>
  <si>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</si>
  <si>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</si>
  <si>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</si>
  <si>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</si>
  <si>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</si>
  <si>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</si>
  <si>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</si>
  <si>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</si>
  <si>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</si>
  <si>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</si>
  <si>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</si>
  <si>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</si>
  <si>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</si>
  <si>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</si>
  <si>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</si>
  <si>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</si>
  <si>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</si>
  <si>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</si>
  <si>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</si>
  <si>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</si>
  <si>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</si>
  <si>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</si>
  <si>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</si>
  <si>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</si>
  <si>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</si>
  <si>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</si>
  <si>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</si>
  <si>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</si>
  <si>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</si>
  <si>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</si>
  <si>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</si>
  <si>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</si>
  <si>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</si>
  <si>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</si>
  <si>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</si>
  <si>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</si>
  <si>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</si>
  <si>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</si>
  <si>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</si>
  <si>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</si>
  <si>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</si>
  <si>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</si>
  <si>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</si>
  <si>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</si>
  <si>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</si>
  <si>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</si>
  <si>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</si>
  <si>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</si>
  <si>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</si>
  <si>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</si>
  <si>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</si>
  <si>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</si>
  <si>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</si>
  <si>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</si>
  <si>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</si>
  <si>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</si>
  <si>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</si>
  <si>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</si>
  <si>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</si>
  <si>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</si>
  <si>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</si>
  <si>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</si>
  <si>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</si>
  <si>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</si>
  <si>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</si>
  <si>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</si>
  <si>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</si>
  <si>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</si>
  <si>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</si>
  <si>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</si>
  <si>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</si>
  <si>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</si>
  <si>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</si>
  <si>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</si>
  <si>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</si>
  <si>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</si>
  <si>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</si>
  <si>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</si>
  <si>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</si>
  <si>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</si>
  <si>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</si>
  <si>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</si>
  <si>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</si>
  <si>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</si>
  <si>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</si>
  <si>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</si>
  <si>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</si>
  <si>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</si>
  <si>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</si>
  <si>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</si>
  <si>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</si>
  <si>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</si>
  <si>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</si>
  <si>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</si>
  <si>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</si>
  <si>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</si>
  <si>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</si>
  <si>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</si>
  <si>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</si>
  <si>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</si>
  <si>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</si>
  <si>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</si>
  <si>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</si>
  <si>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</si>
  <si>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</si>
  <si>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</si>
  <si>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</si>
  <si>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</si>
  <si>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</si>
  <si>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</si>
  <si>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</si>
  <si>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</si>
  <si>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</si>
  <si>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</si>
  <si>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</si>
  <si>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</si>
  <si>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</si>
  <si>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</si>
  <si>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</si>
  <si>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</si>
  <si>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</si>
  <si>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</si>
  <si>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</si>
  <si>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</si>
  <si>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</si>
  <si>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</si>
  <si>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</si>
  <si>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</si>
  <si>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</si>
  <si>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</si>
  <si>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</si>
  <si>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</si>
  <si>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</si>
  <si>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</si>
  <si>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</si>
  <si>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</si>
  <si>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</si>
  <si>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</si>
  <si>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</si>
  <si>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</si>
  <si>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</si>
  <si>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</si>
  <si>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</si>
  <si>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</si>
  <si>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</si>
  <si>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</si>
  <si>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</si>
  <si>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</si>
  <si>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</si>
  <si>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</si>
  <si>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</si>
  <si>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</si>
  <si>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</si>
  <si>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</si>
  <si>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</si>
  <si>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</si>
  <si>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</si>
  <si>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</si>
  <si>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</si>
  <si>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</si>
  <si>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</si>
  <si>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</si>
  <si>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</si>
  <si>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</si>
  <si>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</si>
  <si>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</si>
  <si>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</si>
  <si>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</si>
  <si>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</si>
  <si>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</si>
  <si>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</si>
  <si>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</si>
  <si>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</si>
  <si>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</si>
  <si>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</si>
  <si>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</si>
  <si>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</si>
  <si>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</si>
  <si>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</si>
  <si>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</si>
  <si>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</si>
  <si>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</si>
  <si>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</si>
  <si>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</si>
  <si>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</si>
  <si>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</si>
  <si>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</si>
  <si>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</si>
  <si>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</si>
  <si>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</si>
  <si>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</si>
  <si>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</si>
  <si>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</si>
  <si>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</si>
  <si>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</si>
  <si>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</si>
  <si>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</si>
  <si>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</si>
  <si>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</si>
  <si>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</si>
  <si>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</si>
  <si>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</si>
  <si>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</si>
  <si>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</si>
  <si>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</si>
  <si>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</si>
  <si>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</si>
  <si>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</si>
  <si>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</si>
  <si>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</si>
  <si>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</si>
  <si>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</si>
  <si>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</si>
  <si>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</si>
  <si>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</si>
  <si>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</si>
  <si>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</si>
  <si>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</si>
  <si>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</si>
  <si>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</si>
  <si>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</si>
  <si>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</si>
  <si>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</si>
  <si>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</si>
  <si>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</si>
  <si>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</si>
  <si>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</si>
  <si>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</si>
  <si>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</si>
  <si>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</si>
  <si>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</si>
  <si>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</si>
  <si>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</si>
  <si>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</si>
  <si>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</si>
  <si>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</si>
  <si>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</si>
  <si>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</si>
  <si>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</si>
  <si>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</si>
  <si>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</si>
  <si>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</si>
  <si>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</si>
  <si>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</si>
  <si>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</si>
  <si>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</si>
  <si>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</si>
  <si>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</si>
  <si>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</si>
  <si>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</si>
  <si>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</si>
  <si>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</si>
  <si>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</si>
  <si>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</si>
  <si>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</si>
  <si>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</si>
  <si>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</si>
  <si>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</si>
  <si>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</si>
  <si>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</si>
  <si>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</si>
  <si>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</si>
  <si>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</si>
  <si>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</si>
  <si>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</si>
  <si>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</si>
  <si>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</si>
  <si>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</si>
  <si>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</si>
  <si>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</si>
  <si>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</si>
  <si>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</si>
  <si>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</si>
  <si>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</si>
  <si>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</si>
  <si>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</si>
  <si>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</si>
  <si>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</si>
  <si>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</si>
  <si>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</si>
  <si>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</si>
  <si>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</si>
  <si>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</si>
  <si>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</si>
  <si>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</si>
  <si>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</si>
  <si>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</si>
  <si>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</si>
  <si>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</si>
  <si>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</si>
  <si>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</si>
  <si>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</si>
  <si>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</si>
  <si>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</si>
  <si>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</si>
  <si>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</si>
  <si>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</si>
  <si>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</si>
  <si>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</si>
  <si>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</si>
  <si>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</si>
  <si>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</si>
  <si>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</si>
  <si>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</si>
  <si>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</si>
  <si>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</si>
  <si>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</si>
  <si>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</si>
  <si>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</si>
  <si>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</si>
  <si>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</si>
  <si>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</si>
  <si>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</si>
  <si>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</si>
  <si>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</si>
  <si>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</si>
  <si>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</si>
  <si>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</si>
  <si>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</si>
  <si>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</si>
  <si>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</si>
  <si>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</si>
  <si>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</si>
  <si>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</si>
  <si>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</si>
  <si>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</si>
  <si>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</si>
  <si>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</si>
  <si>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</si>
  <si>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</si>
  <si>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</si>
  <si>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</si>
  <si>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</si>
  <si>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</si>
  <si>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</si>
  <si>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</si>
  <si>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</si>
  <si>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</si>
  <si>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</si>
  <si>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</si>
  <si>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</si>
  <si>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</si>
  <si>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</si>
  <si>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</si>
  <si>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</si>
  <si>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</si>
  <si>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</si>
  <si>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</si>
  <si>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</si>
  <si>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</si>
  <si>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</si>
  <si>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</si>
  <si>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</si>
  <si>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</si>
  <si>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</si>
  <si>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</si>
  <si>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</si>
  <si>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</si>
  <si>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</si>
  <si>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</si>
  <si>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</si>
  <si>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</si>
  <si>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</si>
  <si>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</si>
  <si>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</si>
  <si>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</si>
  <si>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</si>
  <si>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</si>
  <si>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</si>
  <si>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</si>
  <si>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</si>
  <si>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</si>
  <si>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</si>
  <si>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</si>
  <si>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</si>
  <si>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</si>
  <si>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</si>
  <si>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</si>
  <si>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</si>
  <si>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</si>
  <si>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</si>
  <si>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</si>
  <si>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</si>
  <si>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</si>
  <si>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</si>
  <si>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</si>
  <si>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</si>
  <si>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</si>
  <si>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</si>
  <si>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</si>
  <si>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</si>
  <si>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</si>
  <si>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</si>
  <si>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</si>
  <si>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</si>
  <si>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</si>
  <si>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</si>
  <si>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</si>
  <si>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</si>
  <si>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</si>
  <si>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</si>
  <si>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</si>
  <si>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</si>
  <si>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</si>
  <si>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</si>
  <si>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</si>
  <si>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</si>
  <si>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</si>
  <si>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</si>
  <si>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</si>
  <si>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</si>
  <si>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</si>
  <si>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</si>
  <si>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</si>
  <si>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</si>
  <si>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</si>
  <si>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</si>
  <si>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</si>
  <si>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</si>
  <si>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</si>
  <si>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</si>
  <si>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</si>
  <si>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</si>
  <si>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</si>
  <si>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</si>
  <si>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</si>
  <si>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</si>
  <si>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</si>
  <si>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</si>
  <si>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</si>
  <si>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</si>
  <si>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</si>
  <si>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</si>
  <si>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</si>
  <si>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</si>
  <si>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</si>
  <si>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</si>
  <si>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</si>
  <si>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</si>
  <si>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</si>
  <si>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</si>
  <si>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</si>
  <si>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</si>
  <si>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</si>
  <si>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</si>
  <si>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</si>
  <si>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</si>
  <si>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</si>
  <si>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</si>
  <si>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</si>
  <si>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</si>
  <si>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</si>
  <si>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</si>
  <si>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</si>
  <si>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</si>
  <si>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</si>
  <si>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</si>
  <si>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</si>
  <si>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</si>
  <si>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</si>
  <si>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</si>
  <si>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</si>
  <si>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</si>
  <si>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</si>
  <si>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</si>
  <si>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</si>
  <si>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</si>
  <si>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</si>
  <si>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</si>
  <si>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</si>
  <si>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</si>
  <si>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</si>
  <si>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</si>
  <si>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</si>
  <si>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</si>
  <si>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</si>
  <si>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</si>
  <si>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</si>
  <si>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</si>
  <si>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</si>
  <si>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</si>
  <si>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</si>
  <si>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</si>
  <si>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</si>
  <si>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</si>
  <si>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</si>
  <si>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</si>
  <si>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</si>
  <si>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</si>
  <si>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</si>
  <si>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</si>
  <si>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</si>
  <si>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</si>
  <si>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</si>
  <si>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</si>
  <si>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</si>
  <si>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</si>
  <si>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</si>
  <si>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</si>
  <si>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</si>
  <si>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</si>
  <si>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</si>
  <si>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</si>
  <si>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</si>
  <si>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</si>
  <si>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</si>
  <si>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</si>
  <si>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</si>
  <si>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</si>
  <si>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</si>
  <si>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</si>
  <si>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</si>
  <si>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</si>
  <si>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</si>
  <si>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</si>
  <si>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</si>
  <si>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</si>
  <si>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</si>
  <si>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</si>
  <si>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</si>
  <si>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</si>
  <si>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</si>
  <si>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</si>
  <si>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</si>
  <si>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</si>
  <si>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</si>
  <si>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</si>
  <si>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</si>
  <si>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</si>
  <si>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</si>
  <si>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</si>
  <si>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</si>
  <si>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</si>
  <si>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</si>
  <si>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</si>
  <si>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</si>
  <si>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</si>
  <si>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</si>
  <si>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</si>
  <si>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</si>
  <si>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</si>
  <si>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</si>
  <si>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</si>
  <si>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</si>
  <si>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</si>
  <si>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</si>
  <si>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</si>
  <si>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</si>
  <si>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</si>
  <si>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</si>
  <si>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</si>
  <si>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</si>
  <si>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</si>
  <si>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</si>
  <si>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</si>
  <si>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</si>
  <si>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</si>
  <si>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</si>
  <si>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</si>
  <si>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</si>
  <si>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</si>
  <si>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</si>
  <si>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</si>
  <si>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</si>
  <si>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</si>
  <si>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</si>
  <si>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</si>
  <si>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</si>
  <si>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</si>
  <si>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</si>
  <si>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</si>
  <si>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</si>
  <si>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</si>
  <si>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</si>
  <si>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</si>
  <si>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</si>
  <si>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</si>
  <si>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</si>
  <si>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</si>
  <si>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</si>
  <si>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</si>
  <si>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</si>
  <si>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</si>
  <si>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</si>
  <si>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</si>
  <si>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</si>
  <si>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</si>
  <si>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</si>
  <si>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</si>
  <si>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</si>
  <si>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</si>
  <si>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</si>
  <si>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</si>
  <si>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</si>
  <si>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</si>
  <si>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</si>
  <si>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</si>
  <si>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</si>
  <si>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</si>
  <si>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</si>
  <si>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</si>
  <si>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</si>
  <si>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</si>
  <si>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</si>
  <si>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</si>
  <si>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</si>
  <si>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</si>
  <si>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</si>
  <si>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</si>
  <si>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</si>
  <si>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</si>
  <si>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</si>
  <si>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</si>
  <si>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</si>
  <si>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</si>
  <si>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</si>
  <si>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</si>
  <si>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</si>
  <si>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</si>
  <si>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</si>
  <si>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</si>
  <si>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</si>
  <si>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</si>
  <si>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</si>
  <si>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</si>
  <si>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</si>
  <si>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</si>
  <si>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</si>
  <si>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</si>
  <si>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</si>
  <si>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</si>
  <si>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</si>
  <si>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</si>
  <si>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</si>
  <si>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</si>
  <si>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</si>
  <si>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</si>
  <si>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</si>
  <si>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</si>
  <si>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</si>
  <si>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</si>
  <si>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</si>
  <si>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</si>
  <si>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</si>
  <si>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</si>
  <si>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</si>
  <si>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</si>
  <si>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</si>
  <si>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</si>
  <si>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</si>
  <si>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</si>
  <si>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</si>
  <si>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</si>
  <si>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</si>
  <si>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</si>
  <si>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</si>
  <si>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</si>
  <si>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</si>
  <si>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</si>
  <si>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</si>
  <si>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</si>
  <si>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</si>
  <si>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</si>
  <si>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</si>
  <si>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</si>
  <si>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</si>
  <si>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</si>
  <si>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</si>
  <si>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</si>
  <si>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</si>
  <si>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</si>
  <si>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</si>
  <si>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</si>
  <si>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</si>
  <si>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</si>
  <si>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</si>
  <si>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</si>
  <si>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</si>
  <si>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</si>
  <si>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</si>
  <si>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</si>
  <si>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</si>
  <si>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</si>
  <si>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</si>
  <si>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</si>
  <si>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</si>
  <si>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</si>
  <si>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</si>
  <si>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</si>
  <si>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</si>
  <si>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</si>
  <si>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</si>
  <si>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</si>
  <si>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</si>
  <si>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</si>
  <si>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</si>
  <si>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</si>
  <si>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</si>
  <si>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</si>
  <si>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</si>
  <si>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</si>
  <si>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</si>
  <si>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</si>
  <si>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</si>
  <si>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</si>
  <si>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</si>
  <si>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</si>
  <si>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</si>
  <si>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</si>
  <si>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</si>
  <si>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</si>
  <si>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</si>
  <si>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</si>
  <si>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</si>
  <si>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</si>
  <si>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</si>
  <si>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</si>
  <si>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</si>
  <si>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</si>
  <si>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</si>
  <si>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</si>
  <si>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</si>
  <si>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</si>
  <si>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</si>
  <si>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</si>
  <si>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</si>
  <si>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</si>
  <si>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</si>
  <si>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</si>
  <si>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</si>
  <si>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</si>
  <si>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</si>
  <si>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</si>
  <si>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</si>
  <si>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</si>
  <si>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</si>
  <si>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</si>
  <si>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</si>
  <si>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</si>
  <si>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</si>
  <si>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</si>
  <si>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</si>
  <si>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</si>
  <si>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</si>
  <si>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</si>
  <si>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</si>
  <si>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</si>
  <si>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</si>
  <si>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</si>
  <si>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</si>
  <si>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</si>
  <si>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</si>
  <si>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</si>
  <si>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</si>
  <si>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</si>
  <si>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</si>
  <si>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</si>
  <si>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</si>
  <si>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</si>
  <si>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</si>
  <si>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</si>
  <si>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</si>
  <si>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</si>
  <si>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</si>
  <si>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</si>
  <si>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</si>
  <si>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</si>
  <si>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</si>
  <si>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</si>
  <si>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</si>
  <si>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</si>
  <si>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</si>
  <si>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</si>
  <si>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</si>
  <si>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</si>
  <si>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</si>
  <si>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</si>
  <si>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</si>
  <si>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</si>
  <si>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</si>
  <si>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</si>
  <si>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</si>
  <si>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</si>
  <si>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</si>
  <si>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</si>
  <si>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</si>
  <si>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</si>
  <si>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</si>
  <si>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</si>
  <si>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</si>
  <si>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</si>
  <si>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</si>
  <si>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</si>
  <si>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</si>
  <si>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</si>
  <si>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</si>
  <si>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</si>
  <si>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</si>
  <si>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</si>
  <si>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</si>
  <si>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</si>
  <si>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</si>
  <si>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</si>
  <si>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</si>
  <si>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</si>
  <si>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</si>
  <si>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</si>
  <si>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</si>
  <si>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</si>
  <si>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</si>
  <si>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</si>
  <si>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</si>
  <si>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</si>
  <si>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</si>
  <si>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</si>
  <si>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</si>
  <si>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</si>
  <si>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</si>
  <si>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</si>
  <si>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</si>
  <si>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</si>
  <si>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</si>
  <si>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</si>
  <si>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</si>
  <si>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</si>
  <si>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</si>
  <si>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</si>
  <si>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</si>
  <si>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</si>
  <si>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</si>
  <si>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</si>
  <si>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</si>
  <si>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</si>
  <si>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</si>
  <si>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</si>
  <si>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</si>
  <si>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</si>
  <si>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</si>
  <si>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</si>
  <si>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</si>
  <si>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</si>
  <si>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</si>
  <si>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</si>
  <si>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</si>
  <si>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</si>
  <si>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</si>
  <si>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</si>
  <si>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</si>
  <si>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</si>
  <si>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</si>
  <si>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</si>
  <si>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</si>
  <si>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</si>
  <si>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</si>
  <si>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</si>
  <si>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</si>
  <si>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</si>
  <si>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</si>
  <si>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</si>
  <si>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</si>
  <si>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</si>
  <si>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</si>
  <si>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</si>
  <si>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</si>
  <si>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</si>
  <si>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</si>
  <si>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</si>
  <si>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</si>
  <si>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</si>
  <si>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</si>
  <si>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</si>
  <si>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</si>
  <si>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</si>
  <si>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</si>
  <si>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</si>
  <si>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</si>
  <si>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</si>
  <si>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</si>
  <si>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</si>
  <si>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</si>
  <si>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</si>
  <si>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</si>
  <si>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</si>
  <si>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</si>
  <si>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</si>
  <si>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</si>
  <si>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</si>
  <si>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</si>
  <si>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</si>
  <si>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</si>
  <si>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</si>
  <si>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</si>
  <si>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</si>
  <si>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</si>
  <si>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</si>
  <si>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</si>
  <si>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</si>
  <si>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</si>
  <si>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</si>
  <si>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</si>
  <si>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</si>
  <si>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</si>
  <si>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</si>
  <si>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</si>
  <si>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</si>
  <si>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</si>
  <si>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</si>
  <si>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</si>
  <si>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</si>
  <si>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</si>
  <si>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</si>
  <si>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</si>
  <si>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</si>
  <si>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</si>
  <si>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</si>
  <si>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</si>
  <si>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</si>
  <si>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</si>
  <si>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</si>
  <si>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</si>
  <si>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</si>
  <si>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</si>
  <si>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</si>
  <si>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</si>
  <si>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</si>
  <si>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</si>
  <si>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</si>
  <si>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</si>
  <si>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</si>
  <si>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</si>
  <si>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</si>
  <si>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</si>
  <si>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</si>
  <si>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</si>
  <si>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</si>
  <si>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</si>
  <si>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</si>
  <si>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</si>
  <si>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</si>
  <si>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</si>
  <si>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</si>
  <si>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</si>
  <si>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</si>
  <si>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</si>
  <si>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</si>
  <si>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</si>
  <si>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</si>
  <si>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</si>
  <si>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</si>
  <si>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</si>
  <si>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</si>
  <si>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</si>
  <si>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</si>
  <si>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</si>
  <si>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</si>
  <si>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</si>
  <si>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</si>
  <si>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</si>
  <si>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</si>
  <si>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</si>
  <si>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</si>
  <si>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</si>
  <si>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</si>
  <si>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</si>
  <si>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</si>
  <si>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</si>
  <si>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</si>
  <si>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</si>
  <si>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</si>
  <si>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</si>
  <si>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</si>
  <si>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</si>
  <si>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</si>
  <si>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</si>
  <si>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</si>
  <si>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</si>
  <si>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</si>
  <si>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</si>
  <si>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</si>
  <si>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</si>
  <si>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</si>
  <si>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</si>
  <si>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</si>
  <si>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</si>
  <si>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</si>
  <si>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</si>
  <si>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</si>
  <si>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</si>
  <si>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</si>
  <si>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</si>
  <si>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</si>
  <si>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</si>
  <si>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</si>
  <si>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</si>
  <si>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</si>
  <si>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</si>
  <si>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</si>
  <si>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</si>
  <si>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</si>
  <si>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</si>
  <si>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</si>
  <si>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</si>
  <si>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</si>
  <si>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</si>
  <si>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</si>
  <si>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</si>
  <si>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</si>
  <si>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</si>
  <si>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</si>
  <si>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</si>
  <si>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</si>
  <si>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</si>
  <si>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</si>
  <si>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</si>
  <si>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</si>
  <si>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</si>
  <si>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</si>
  <si>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</si>
  <si>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</si>
  <si>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</si>
  <si>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</si>
  <si>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</si>
  <si>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</si>
  <si>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</si>
  <si>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</si>
  <si>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</si>
  <si>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</si>
  <si>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</si>
  <si>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</si>
  <si>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</si>
  <si>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</si>
  <si>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</si>
  <si>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</si>
  <si>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</si>
  <si>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</si>
  <si>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</si>
  <si>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</si>
  <si>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</si>
  <si>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</si>
  <si>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</si>
  <si>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</si>
  <si>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</si>
  <si>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</si>
  <si>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</si>
  <si>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</si>
  <si>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</si>
  <si>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</si>
  <si>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</si>
  <si>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</si>
  <si>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</si>
  <si>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</si>
  <si>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</si>
  <si>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</si>
  <si>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</si>
  <si>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</si>
  <si>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</si>
  <si>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</si>
  <si>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</si>
  <si>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</si>
  <si>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</si>
  <si>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</si>
  <si>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</si>
  <si>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</si>
  <si>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</si>
  <si>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</si>
  <si>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</si>
  <si>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</si>
  <si>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</si>
  <si>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</si>
  <si>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</si>
  <si>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</si>
  <si>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</si>
  <si>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</si>
  <si>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</si>
  <si>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</si>
  <si>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</si>
  <si>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</si>
  <si>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</si>
  <si>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</si>
  <si>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</si>
  <si>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</si>
  <si>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</si>
  <si>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</si>
  <si>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</si>
  <si>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</si>
  <si>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</si>
  <si>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</si>
  <si>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</si>
  <si>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</si>
  <si>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</si>
  <si>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</si>
  <si>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</si>
  <si>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</si>
  <si>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</si>
  <si>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</si>
  <si>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</si>
  <si>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</si>
  <si>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</si>
  <si>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</si>
  <si>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</si>
  <si>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</si>
  <si>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</si>
  <si>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</si>
  <si>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</si>
  <si>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</si>
  <si>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</si>
  <si>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</si>
  <si>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</si>
  <si>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</si>
  <si>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</si>
  <si>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</si>
  <si>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</si>
  <si>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</si>
  <si>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</si>
  <si>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</si>
  <si>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</si>
  <si>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</si>
  <si>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</si>
  <si>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</si>
  <si>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</si>
  <si>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</si>
  <si>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</si>
  <si>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</si>
  <si>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</si>
  <si>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</si>
  <si>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</si>
  <si>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</si>
  <si>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</si>
  <si>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</si>
  <si>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</si>
  <si>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</si>
  <si>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</si>
  <si>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</si>
  <si>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</si>
  <si>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</si>
  <si>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</si>
  <si>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</si>
  <si>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</si>
  <si>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</si>
  <si>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</si>
  <si>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</si>
  <si>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</si>
  <si>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</si>
  <si>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</si>
  <si>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</si>
  <si>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</si>
  <si>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</si>
  <si>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</si>
  <si>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</si>
  <si>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</si>
  <si>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</si>
  <si>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</si>
  <si>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</si>
  <si>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</si>
  <si>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</si>
  <si>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</si>
  <si>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</si>
  <si>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</si>
  <si>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</si>
  <si>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</si>
  <si>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</si>
  <si>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</si>
  <si>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</si>
  <si>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</si>
  <si>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</si>
  <si>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</si>
  <si>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</si>
  <si>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</si>
  <si>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</si>
  <si>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</si>
  <si>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</si>
  <si>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</si>
  <si>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</si>
  <si>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</si>
  <si>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</si>
  <si>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</si>
  <si>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</si>
  <si>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</si>
  <si>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</si>
  <si>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</si>
  <si>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</si>
  <si>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</si>
  <si>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</si>
  <si>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</si>
  <si>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</si>
  <si>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</si>
  <si>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</si>
  <si>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</si>
  <si>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</si>
  <si>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</si>
  <si>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</si>
  <si>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</si>
  <si>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</si>
  <si>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</si>
  <si>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</si>
  <si>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</si>
  <si>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</si>
  <si>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</si>
  <si>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</si>
  <si>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</si>
  <si>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</si>
  <si>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</si>
  <si>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</si>
  <si>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</si>
  <si>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</si>
  <si>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</si>
  <si>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</si>
  <si>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</si>
  <si>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</si>
  <si>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</si>
  <si>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</si>
  <si>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</si>
  <si>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</si>
  <si>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</si>
  <si>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</si>
  <si>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</si>
  <si>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</si>
  <si>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</si>
  <si>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</si>
  <si>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</si>
  <si>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</si>
  <si>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</si>
  <si>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</si>
  <si>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</si>
  <si>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</si>
  <si>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</si>
  <si>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</si>
  <si>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</si>
  <si>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</si>
  <si>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</si>
  <si>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</si>
  <si>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</si>
  <si>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</si>
  <si>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</si>
  <si>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</si>
  <si>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</si>
  <si>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</si>
  <si>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</si>
  <si>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</si>
  <si>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</si>
  <si>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</si>
  <si>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</si>
  <si>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</si>
  <si>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</si>
  <si>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</si>
  <si>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</si>
  <si>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</si>
  <si>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</si>
  <si>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</si>
  <si>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</si>
  <si>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</si>
  <si>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</si>
  <si>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</si>
  <si>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</si>
  <si>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</si>
  <si>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</si>
  <si>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</si>
  <si>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</si>
  <si>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</si>
  <si>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</si>
  <si>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</si>
  <si>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</si>
  <si>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</si>
  <si>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</si>
  <si>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</si>
  <si>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</si>
  <si>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</si>
  <si>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</si>
  <si>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</si>
  <si>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</si>
  <si>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</si>
  <si>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</si>
  <si>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</si>
  <si>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</si>
  <si>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</si>
  <si>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</si>
  <si>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</si>
  <si>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</si>
  <si>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</si>
  <si>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</si>
  <si>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</si>
  <si>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</si>
  <si>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</si>
  <si>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</si>
  <si>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</si>
  <si>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</si>
  <si>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</si>
  <si>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</si>
  <si>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</si>
  <si>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</si>
  <si>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</si>
  <si>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</si>
  <si>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</si>
  <si>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</si>
  <si>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</si>
  <si>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</si>
  <si>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</si>
  <si>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</si>
  <si>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</si>
  <si>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</si>
  <si>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</si>
  <si>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</si>
  <si>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</si>
  <si>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</si>
  <si>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</si>
  <si>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</si>
  <si>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</si>
  <si>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</si>
  <si>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</si>
  <si>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</si>
  <si>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</si>
  <si>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</si>
  <si>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</si>
  <si>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</si>
  <si>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</si>
  <si>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</si>
  <si>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</si>
  <si>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</si>
  <si>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</si>
  <si>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</si>
  <si>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</si>
  <si>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</si>
  <si>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</si>
  <si>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</si>
  <si>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</si>
  <si>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</si>
  <si>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</si>
  <si>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</si>
  <si>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</si>
  <si>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</si>
  <si>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</si>
  <si>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</si>
  <si>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</si>
  <si>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</si>
  <si>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</si>
  <si>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</si>
  <si>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</si>
  <si>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</si>
  <si>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</si>
  <si>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</si>
  <si>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</si>
  <si>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</si>
  <si>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</si>
  <si>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</si>
  <si>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</si>
  <si>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</si>
  <si>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</si>
  <si>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</si>
  <si>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</si>
  <si>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</si>
  <si>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</si>
  <si>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</si>
  <si>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</si>
  <si>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</si>
  <si>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</si>
  <si>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</si>
  <si>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</si>
  <si>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</si>
  <si>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</si>
  <si>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</si>
  <si>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</si>
  <si>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</si>
  <si>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</si>
  <si>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</si>
  <si>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</si>
  <si>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</si>
  <si>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</si>
  <si>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</si>
  <si>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</si>
  <si>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</si>
  <si>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</si>
  <si>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</si>
  <si>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</si>
  <si>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</si>
  <si>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</si>
  <si>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</si>
  <si>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</si>
  <si>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</si>
  <si>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</si>
  <si>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</si>
  <si>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</si>
  <si>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</si>
  <si>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</si>
  <si>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</si>
  <si>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</si>
  <si>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</si>
  <si>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</si>
  <si>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</si>
  <si>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</si>
  <si>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</si>
  <si>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</si>
  <si>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</si>
  <si>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</si>
  <si>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</si>
  <si>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</si>
  <si>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</si>
  <si>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</si>
  <si>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</si>
  <si>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</si>
  <si>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</si>
  <si>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</si>
  <si>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</si>
  <si>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</si>
  <si>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</si>
  <si>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</si>
  <si>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</si>
  <si>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</si>
  <si>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</si>
  <si>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</si>
  <si>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</si>
  <si>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</si>
  <si>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</si>
  <si>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</si>
  <si>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</si>
  <si>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</si>
  <si>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</si>
  <si>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</si>
  <si>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</si>
  <si>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</si>
  <si>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</si>
  <si>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</si>
  <si>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</si>
  <si>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</si>
  <si>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</si>
  <si>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</si>
  <si>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</si>
  <si>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</si>
  <si>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</si>
  <si>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</si>
  <si>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</si>
  <si>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</si>
  <si>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</si>
  <si>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</si>
  <si>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</si>
  <si>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</si>
  <si>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</si>
  <si>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</si>
  <si>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</si>
  <si>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</si>
  <si>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</si>
  <si>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</si>
  <si>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</si>
  <si>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</si>
  <si>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</si>
  <si>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</si>
  <si>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</si>
  <si>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</si>
  <si>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</si>
  <si>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</si>
  <si>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</si>
  <si>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</si>
  <si>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</si>
  <si>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</si>
  <si>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</si>
  <si>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</si>
  <si>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</si>
  <si>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</si>
  <si>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</si>
  <si>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</si>
  <si>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</si>
  <si>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</si>
  <si>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</si>
  <si>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</si>
  <si>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</si>
  <si>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</si>
  <si>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</si>
  <si>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</si>
  <si>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</si>
  <si>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</si>
  <si>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</si>
  <si>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</si>
  <si>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</si>
  <si>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</si>
  <si>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</si>
  <si>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</si>
  <si>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</si>
  <si>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</si>
  <si>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</si>
  <si>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</si>
  <si>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</si>
  <si>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</si>
  <si>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</si>
  <si>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</si>
  <si>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</si>
  <si>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</si>
  <si>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</si>
  <si>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</si>
  <si>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</si>
  <si>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</si>
  <si>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</si>
  <si>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</si>
  <si>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</si>
  <si>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</si>
  <si>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</si>
  <si>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</si>
  <si>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</si>
  <si>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</si>
  <si>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</si>
  <si>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</si>
  <si>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</si>
  <si>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</si>
  <si>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</si>
  <si>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</si>
  <si>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</si>
  <si>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</si>
  <si>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</si>
  <si>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</si>
  <si>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</si>
  <si>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</si>
  <si>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</si>
  <si>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</si>
  <si>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</si>
  <si>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</si>
  <si>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</si>
  <si>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</si>
  <si>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</si>
  <si>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</si>
  <si>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</si>
  <si>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</si>
  <si>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</si>
  <si>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</si>
  <si>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</si>
  <si>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</si>
  <si>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</si>
  <si>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</si>
  <si>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</si>
  <si>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</si>
  <si>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</si>
  <si>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</si>
  <si>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</si>
  <si>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</si>
  <si>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</si>
  <si>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</si>
  <si>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</si>
  <si>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</si>
  <si>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</si>
  <si>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</si>
  <si>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</si>
  <si>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</si>
  <si>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</si>
  <si>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</si>
  <si>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</si>
  <si>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</si>
  <si>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</si>
  <si>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</si>
  <si>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</si>
  <si>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</si>
  <si>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</si>
  <si>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</si>
  <si>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</si>
  <si>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</si>
  <si>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</si>
  <si>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</si>
  <si>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</si>
  <si>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</si>
  <si>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</si>
  <si>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</si>
  <si>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</si>
  <si>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</si>
  <si>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</si>
  <si>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</si>
  <si>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</si>
  <si>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</si>
  <si>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</si>
  <si>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</si>
  <si>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</si>
  <si>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</si>
  <si>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</si>
  <si>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</si>
  <si>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</si>
  <si>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</si>
  <si>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</si>
  <si>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</si>
  <si>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</si>
  <si>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</si>
  <si>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</si>
  <si>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</si>
  <si>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</si>
  <si>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</si>
  <si>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</si>
  <si>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</si>
  <si>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</si>
  <si>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</si>
  <si>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</si>
  <si>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</si>
  <si>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</si>
  <si>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</si>
  <si>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</si>
  <si>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</si>
  <si>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</si>
  <si>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</si>
  <si>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</si>
  <si>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</si>
  <si>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</si>
  <si>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</si>
  <si>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</si>
  <si>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</si>
  <si>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</si>
  <si>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</si>
  <si>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</si>
  <si>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</si>
  <si>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</si>
  <si>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</si>
  <si>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</si>
  <si>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</si>
  <si>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</si>
  <si>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</si>
  <si>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</si>
  <si>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</si>
  <si>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</si>
  <si>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</si>
  <si>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</si>
  <si>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</si>
  <si>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</si>
  <si>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</si>
  <si>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</si>
  <si>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</si>
  <si>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</si>
  <si>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</si>
  <si>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</si>
  <si>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</si>
  <si>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</si>
  <si>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</si>
  <si>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</si>
  <si>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</si>
  <si>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</si>
  <si>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</si>
  <si>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</si>
  <si>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</si>
  <si>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</si>
  <si>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</si>
  <si>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</si>
  <si>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</si>
  <si>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</si>
  <si>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</si>
  <si>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</si>
  <si>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</si>
  <si>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</si>
  <si>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</si>
  <si>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</si>
  <si>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</si>
  <si>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</si>
  <si>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</si>
  <si>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</si>
  <si>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</si>
  <si>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</si>
  <si>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</si>
  <si>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</si>
  <si>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</si>
  <si>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</si>
  <si>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</si>
  <si>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</si>
  <si>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</si>
  <si>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</si>
  <si>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</si>
  <si>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</si>
  <si>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</si>
  <si>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</si>
  <si>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</si>
  <si>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</si>
  <si>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</si>
  <si>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</si>
  <si>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</si>
  <si>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</si>
  <si>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</si>
  <si>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</si>
  <si>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</si>
  <si>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</si>
  <si>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</si>
  <si>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</si>
  <si>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</si>
  <si>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</si>
  <si>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</si>
  <si>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</si>
  <si>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</si>
  <si>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</si>
  <si>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</si>
  <si>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</si>
  <si>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</si>
  <si>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</si>
  <si>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</si>
  <si>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</si>
  <si>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</si>
  <si>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</si>
  <si>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</si>
  <si>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</si>
  <si>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</si>
  <si>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</si>
  <si>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</si>
  <si>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</si>
  <si>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</si>
  <si>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</si>
  <si>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</si>
  <si>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</si>
  <si>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</si>
  <si>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</si>
  <si>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</si>
  <si>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</si>
  <si>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</si>
  <si>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</si>
  <si>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</si>
  <si>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</si>
  <si>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</si>
  <si>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</si>
  <si>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</si>
  <si>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</si>
  <si>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</si>
  <si>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</si>
  <si>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</si>
  <si>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</si>
  <si>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</si>
  <si>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</si>
  <si>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</si>
  <si>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</si>
  <si>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</si>
  <si>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</si>
  <si>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</si>
  <si>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</si>
  <si>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</si>
  <si>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</si>
  <si>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</si>
  <si>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</si>
  <si>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</si>
  <si>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</si>
  <si>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</si>
  <si>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</si>
  <si>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</si>
  <si>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</si>
  <si>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</si>
  <si>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</si>
  <si>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</si>
  <si>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</si>
  <si>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</si>
  <si>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</si>
  <si>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</si>
  <si>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</si>
  <si>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</si>
  <si>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</si>
  <si>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</si>
  <si>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</si>
  <si>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</si>
  <si>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</si>
  <si>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</si>
  <si>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</si>
  <si>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</si>
  <si>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</si>
  <si>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</si>
  <si>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</si>
  <si>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</si>
  <si>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</si>
  <si>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</si>
  <si>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</si>
  <si>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</si>
  <si>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</si>
  <si>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</si>
  <si>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</si>
  <si>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</si>
  <si>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</si>
  <si>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</si>
  <si>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</si>
  <si>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</si>
  <si>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</si>
  <si>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</si>
  <si>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</si>
  <si>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</si>
  <si>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</si>
  <si>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</si>
  <si>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</si>
  <si>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</si>
  <si>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</si>
  <si>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</si>
  <si>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</si>
  <si>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</si>
  <si>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</si>
  <si>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</si>
  <si>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</si>
  <si>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</si>
  <si>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</si>
  <si>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</si>
  <si>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</si>
  <si>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</si>
  <si>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</si>
  <si>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</si>
  <si>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</si>
  <si>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</si>
  <si>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</si>
  <si>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</si>
  <si>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</si>
  <si>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</si>
  <si>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</si>
  <si>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</si>
  <si>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</si>
  <si>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</si>
  <si>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</si>
  <si>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</si>
  <si>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</si>
  <si>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</si>
  <si>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</si>
  <si>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</si>
  <si>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</si>
  <si>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</si>
  <si>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</si>
  <si>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</si>
  <si>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</si>
  <si>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</si>
  <si>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</si>
  <si>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</si>
  <si>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</si>
  <si>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</si>
  <si>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</si>
  <si>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</si>
  <si>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</si>
  <si>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</si>
  <si>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</si>
  <si>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</si>
  <si>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</si>
  <si>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</si>
  <si>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</si>
  <si>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</si>
  <si>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</si>
  <si>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</si>
  <si>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</si>
  <si>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</si>
  <si>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</si>
  <si>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</si>
  <si>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</si>
  <si>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</si>
  <si>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</si>
  <si>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</si>
  <si>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</si>
  <si>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</si>
  <si>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</si>
  <si>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</si>
  <si>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</si>
  <si>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</si>
  <si>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</si>
  <si>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</si>
  <si>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</si>
  <si>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</si>
  <si>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</si>
  <si>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</si>
  <si>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</si>
  <si>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</si>
  <si>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</si>
  <si>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</si>
  <si>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</si>
  <si>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</si>
  <si>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</si>
  <si>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</si>
  <si>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</si>
  <si>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</si>
  <si>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</si>
  <si>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</si>
  <si>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</si>
  <si>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</si>
  <si>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</si>
  <si>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</si>
  <si>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</si>
  <si>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</si>
  <si>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</si>
  <si>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</si>
  <si>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</si>
  <si>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</si>
  <si>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</si>
  <si>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</si>
  <si>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</si>
  <si>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</si>
  <si>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</si>
  <si>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</si>
  <si>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</si>
  <si>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</si>
  <si>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</si>
  <si>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</si>
  <si>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</si>
  <si>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</si>
  <si>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</si>
  <si>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</si>
  <si>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</si>
  <si>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</si>
  <si>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</si>
  <si>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</si>
  <si>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</si>
  <si>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</si>
  <si>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</si>
  <si>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</si>
  <si>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</si>
  <si>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</si>
  <si>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</si>
  <si>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</si>
  <si>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</si>
  <si>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</si>
  <si>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</si>
  <si>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</si>
  <si>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</si>
  <si>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</si>
  <si>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</si>
  <si>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</si>
  <si>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</si>
  <si>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</si>
  <si>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</si>
  <si>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</si>
  <si>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</si>
  <si>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</si>
  <si>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</si>
  <si>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</si>
  <si>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</si>
  <si>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</si>
  <si>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</si>
  <si>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</si>
  <si>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</si>
  <si>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</si>
  <si>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</si>
  <si>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</si>
  <si>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</si>
  <si>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</si>
  <si>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</si>
  <si>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</si>
  <si>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</si>
  <si>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</si>
  <si>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</si>
  <si>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</si>
  <si>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</si>
  <si>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</si>
  <si>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</si>
  <si>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</si>
  <si>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</si>
  <si>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</si>
  <si>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</si>
  <si>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</si>
  <si>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</si>
  <si>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</si>
  <si>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</si>
  <si>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</si>
  <si>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</si>
  <si>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</si>
  <si>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</si>
  <si>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</si>
  <si>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</si>
  <si>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</si>
  <si>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</si>
  <si>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</si>
  <si>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</si>
  <si>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</si>
  <si>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</si>
  <si>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</si>
  <si>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</si>
  <si>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</si>
  <si>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</si>
  <si>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</si>
  <si>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</si>
  <si>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</si>
  <si>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</si>
  <si>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</si>
  <si>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</si>
  <si>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</si>
  <si>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</si>
  <si>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</si>
  <si>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</si>
  <si>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</si>
  <si>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</si>
  <si>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</si>
  <si>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</si>
  <si>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</si>
  <si>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</si>
  <si>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</si>
  <si>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</si>
  <si>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</si>
  <si>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</si>
  <si>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</si>
  <si>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</si>
  <si>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</si>
  <si>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</si>
  <si>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</si>
  <si>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</si>
  <si>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</si>
  <si>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</si>
  <si>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</si>
  <si>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</si>
  <si>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</si>
  <si>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</si>
  <si>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</si>
  <si>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</si>
  <si>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</si>
  <si>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</si>
  <si>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</si>
  <si>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</si>
  <si>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</si>
  <si>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</si>
  <si>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</si>
  <si>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</si>
  <si>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</si>
  <si>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</si>
  <si>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</si>
  <si>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</si>
  <si>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</si>
  <si>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</si>
  <si>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</si>
  <si>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</si>
  <si>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</si>
  <si>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</si>
  <si>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</si>
  <si>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</si>
  <si>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</si>
  <si>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</si>
  <si>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</si>
  <si>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</si>
  <si>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</si>
  <si>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</si>
  <si>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</si>
  <si>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</si>
  <si>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</si>
  <si>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</si>
  <si>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</si>
  <si>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</si>
  <si>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</si>
  <si>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</si>
  <si>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</si>
  <si>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</si>
  <si>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</si>
  <si>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</si>
  <si>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</si>
  <si>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</si>
  <si>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</si>
  <si>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</si>
  <si>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</si>
  <si>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</si>
  <si>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</si>
  <si>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</si>
  <si>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</si>
  <si>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</si>
  <si>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</si>
  <si>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</si>
  <si>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</si>
  <si>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</si>
  <si>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</si>
  <si>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</si>
  <si>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</si>
  <si>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</si>
  <si>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</si>
  <si>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</si>
  <si>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</si>
  <si>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</si>
  <si>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</si>
  <si>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</si>
  <si>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</si>
  <si>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</si>
  <si>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</si>
  <si>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</si>
  <si>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</si>
  <si>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</si>
  <si>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</si>
  <si>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</si>
  <si>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</si>
  <si>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</si>
  <si>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</si>
  <si>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</si>
  <si>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</si>
  <si>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</si>
  <si>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</si>
  <si>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</si>
  <si>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</si>
  <si>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</si>
  <si>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</si>
  <si>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</si>
  <si>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</si>
  <si>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</si>
  <si>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</si>
  <si>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</si>
  <si>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</si>
  <si>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</si>
  <si>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</si>
  <si>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</si>
  <si>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</si>
  <si>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</si>
  <si>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</si>
  <si>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</si>
  <si>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</si>
  <si>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</si>
  <si>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</si>
  <si>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</si>
  <si>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</si>
  <si>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</si>
  <si>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</si>
  <si>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</si>
  <si>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</si>
  <si>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</si>
  <si>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</si>
  <si>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</si>
  <si>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</si>
  <si>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</si>
  <si>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</si>
  <si>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</si>
  <si>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</si>
  <si>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</si>
  <si>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</si>
  <si>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</si>
  <si>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</si>
  <si>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</si>
  <si>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</si>
  <si>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</si>
  <si>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</si>
  <si>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</si>
  <si>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</si>
  <si>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</si>
  <si>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</si>
  <si>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</si>
  <si>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</si>
  <si>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</si>
  <si>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</si>
  <si>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</si>
  <si>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</si>
  <si>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</si>
  <si>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</si>
  <si>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</si>
  <si>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</si>
  <si>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</si>
  <si>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</si>
  <si>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</si>
  <si>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</si>
  <si>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</si>
  <si>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</si>
  <si>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</si>
  <si>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</si>
  <si>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</si>
  <si>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</si>
  <si>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</si>
  <si>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</si>
  <si>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</si>
  <si>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</si>
  <si>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</si>
  <si>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</si>
  <si>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</si>
  <si>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</si>
  <si>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</si>
  <si>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</si>
  <si>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</si>
  <si>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</si>
  <si>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</si>
  <si>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</si>
  <si>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</si>
  <si>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</si>
  <si>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</si>
  <si>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</si>
  <si>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</si>
  <si>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</si>
  <si>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</si>
  <si>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</si>
  <si>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</si>
  <si>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</si>
  <si>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</si>
  <si>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</si>
  <si>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</si>
  <si>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</si>
  <si>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</si>
  <si>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</si>
  <si>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</si>
  <si>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</si>
  <si>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</si>
  <si>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</si>
  <si>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</si>
  <si>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</si>
  <si>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</si>
  <si>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</si>
  <si>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</si>
  <si>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</si>
  <si>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</si>
  <si>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</si>
  <si>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</si>
  <si>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</si>
  <si>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</si>
  <si>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</si>
  <si>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</si>
  <si>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</si>
  <si>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</si>
  <si>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</si>
  <si>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</si>
  <si>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</si>
  <si>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</si>
  <si>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</si>
  <si>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</si>
  <si>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</si>
  <si>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</si>
  <si>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</si>
  <si>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</si>
  <si>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</si>
  <si>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</si>
  <si>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</si>
  <si>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</si>
  <si>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</si>
  <si>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</si>
  <si>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</si>
  <si>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</si>
  <si>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</si>
  <si>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</si>
  <si>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</si>
  <si>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</si>
  <si>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</si>
  <si>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</si>
  <si>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</si>
  <si>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</si>
  <si>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</si>
  <si>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</si>
  <si>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</si>
  <si>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</si>
  <si>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</si>
  <si>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</si>
  <si>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</si>
  <si>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</si>
  <si>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</si>
  <si>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</si>
  <si>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</si>
  <si>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</si>
  <si>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</si>
  <si>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</si>
  <si>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</si>
  <si>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</si>
  <si>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</si>
  <si>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</si>
  <si>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</si>
  <si>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</si>
  <si>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</si>
  <si>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</si>
  <si>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</si>
  <si>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</si>
  <si>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</si>
  <si>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</si>
  <si>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</si>
  <si>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</si>
  <si>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</si>
  <si>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</si>
  <si>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</si>
  <si>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</si>
  <si>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</si>
  <si>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</si>
  <si>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</si>
  <si>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</si>
  <si>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</si>
  <si>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</si>
  <si>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</si>
  <si>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</si>
  <si>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</si>
  <si>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</si>
  <si>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</si>
  <si>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</si>
  <si>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</si>
  <si>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</si>
  <si>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</si>
  <si>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</si>
  <si>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</si>
  <si>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</si>
  <si>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</si>
  <si>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</si>
  <si>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</si>
  <si>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</si>
  <si>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</si>
  <si>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</si>
  <si>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</si>
  <si>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</si>
  <si>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</si>
  <si>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</si>
  <si>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</si>
  <si>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</si>
  <si>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</si>
  <si>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</si>
  <si>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</si>
  <si>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</si>
  <si>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</si>
  <si>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</si>
  <si>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</si>
  <si>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</si>
  <si>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</si>
  <si>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</si>
  <si>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</si>
  <si>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</si>
  <si>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</si>
  <si>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</si>
  <si>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</si>
  <si>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</si>
  <si>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</si>
  <si>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</si>
  <si>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</si>
  <si>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</si>
  <si>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</si>
  <si>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</si>
  <si>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</si>
  <si>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</si>
  <si>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</si>
  <si>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</si>
  <si>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</si>
  <si>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</si>
  <si>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</si>
  <si>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</si>
  <si>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</si>
  <si>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</si>
  <si>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</si>
  <si>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</si>
  <si>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</si>
  <si>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</si>
  <si>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</si>
  <si>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</si>
  <si>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</si>
  <si>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</si>
  <si>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</si>
  <si>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</si>
  <si>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</si>
  <si>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</si>
  <si>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</si>
  <si>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</si>
  <si>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</si>
  <si>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</si>
  <si>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</si>
  <si>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</si>
  <si>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</si>
  <si>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</si>
  <si>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</si>
  <si>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</si>
  <si>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</si>
  <si>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</si>
  <si>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</si>
  <si>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</si>
  <si>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</si>
  <si>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</si>
  <si>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</si>
  <si>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03410153</t>
  </si>
  <si>
    <t>060083654</t>
  </si>
  <si>
    <t>89406825003</t>
  </si>
  <si>
    <t>VODOVOD D.O.O ZADAR</t>
  </si>
  <si>
    <t>ZADAR</t>
  </si>
  <si>
    <t>ŠPIRE BRUSINE 17</t>
  </si>
  <si>
    <t>vodovod1@vodovod-zadar.hr</t>
  </si>
  <si>
    <t>www.vodovod-zadar.hr</t>
  </si>
  <si>
    <t>IVA BRKIĆ</t>
  </si>
  <si>
    <t>023/282-936</t>
  </si>
  <si>
    <t>iva.brkic@vodovod-zadar.hr</t>
  </si>
  <si>
    <t>TOMISLAV MATEK</t>
  </si>
  <si>
    <t>DA</t>
  </si>
  <si>
    <t>98910718267</t>
  </si>
  <si>
    <t>4</t>
  </si>
  <si>
    <t>5</t>
  </si>
  <si>
    <t>6</t>
  </si>
  <si>
    <t>7</t>
  </si>
  <si>
    <t>12</t>
  </si>
  <si>
    <t>8</t>
  </si>
  <si>
    <t>9</t>
  </si>
  <si>
    <t>10</t>
  </si>
  <si>
    <t>14</t>
  </si>
  <si>
    <t>13</t>
  </si>
  <si>
    <t>16</t>
  </si>
  <si>
    <t>17</t>
  </si>
  <si>
    <t>18</t>
  </si>
  <si>
    <t>19</t>
  </si>
  <si>
    <t>20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</si>
</sst>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quot;Yes&quot;;&quot;Yes&quot;;&quot;No&quot;"/>
    <numFmt numFmtId="194" formatCode="&quot;True&quot;;&quot;True&quot;;&quot;False&quot;"/>
    <numFmt numFmtId="195" formatCode="&quot;On&quot;;&quot;On&quot;;&quot;Off&quot;"/>
    <numFmt numFmtId="196" formatCode="[$€-2]\ #,##0.00_);[Red]\([$€-2]\ #,##0.00\)"/>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t="str">
        <f>IF(Bilanca!J11=0,"",Bilanca!J11)</f>
        <v>12</v>
      </c>
      <c r="H3" s="224">
        <f>J3/100*F3+2*K3/100*F3</f>
        <v>28819452.340000004</v>
      </c>
      <c r="I3" s="27">
        <f>ABS(ROUND(J3,0)-J3)+ABS(ROUND(K3,0)-K3)</f>
        <v>0</v>
      </c>
      <c r="J3" s="75">
        <f>Bilanca!K11</f>
        <v>467968361</v>
      </c>
      <c r="K3" s="76">
        <f>Bilanca!L11</f>
        <v>486502128</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03410153</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060083654</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89406825003</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VODOVOD D.O.O ZADAR</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23000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ZADAR</v>
      </c>
      <c r="C11" s="27"/>
      <c r="D11" s="27" t="s">
        <v>2272</v>
      </c>
      <c r="E11" s="27">
        <v>1</v>
      </c>
      <c r="F11" s="27">
        <f>Bilanca!I19</f>
        <v>10</v>
      </c>
      <c r="G11" s="27" t="str">
        <f>IF(Bilanca!J19=0,"",Bilanca!J19)</f>
        <v>12</v>
      </c>
      <c r="H11" s="224">
        <f t="shared" si="1"/>
        <v>143419051.9</v>
      </c>
      <c r="I11" s="27">
        <f t="shared" si="2"/>
        <v>0</v>
      </c>
      <c r="J11" s="75">
        <f>Bilanca!K19</f>
        <v>467247361</v>
      </c>
      <c r="K11" s="76">
        <f>Bilanca!L19</f>
        <v>483471579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ŠPIRE BRUSINE 17</v>
      </c>
      <c r="C12" s="27"/>
      <c r="D12" s="27" t="s">
        <v>2272</v>
      </c>
      <c r="E12" s="27">
        <v>1</v>
      </c>
      <c r="F12" s="27">
        <f>Bilanca!I20</f>
        <v>11</v>
      </c>
      <c r="G12" s="27">
        <f>IF(Bilanca!J20=0,"",Bilanca!J20)</f>
      </c>
      <c r="H12" s="224">
        <f t="shared" si="1"/>
        <v>15443141.01</v>
      </c>
      <c r="I12" s="77">
        <f t="shared" si="2"/>
        <v>0</v>
      </c>
      <c r="J12" s="75">
        <f>Bilanca!K20</f>
        <v>46797397</v>
      </c>
      <c r="K12" s="76">
        <f>Bilanca!L20</f>
        <v>46797397</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vodovod1@vodovod-zadar.hr</v>
      </c>
      <c r="C13" s="27"/>
      <c r="D13" s="27" t="s">
        <v>2272</v>
      </c>
      <c r="E13" s="27">
        <v>1</v>
      </c>
      <c r="F13" s="27">
        <f>Bilanca!I21</f>
        <v>12</v>
      </c>
      <c r="G13" s="27">
        <f>IF(Bilanca!J21=0,"",Bilanca!J21)</f>
      </c>
      <c r="H13" s="224">
        <f t="shared" si="1"/>
        <v>104893244.88</v>
      </c>
      <c r="I13" s="27">
        <f t="shared" si="2"/>
        <v>0</v>
      </c>
      <c r="J13" s="75">
        <f>Bilanca!K21</f>
        <v>253439548</v>
      </c>
      <c r="K13" s="76">
        <f>Bilanca!L21</f>
        <v>310335413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www.vodovod-zadar.hr</v>
      </c>
      <c r="C14" s="27"/>
      <c r="D14" s="27" t="s">
        <v>2272</v>
      </c>
      <c r="E14" s="27">
        <v>1</v>
      </c>
      <c r="F14" s="27">
        <f>Bilanca!I22</f>
        <v>13</v>
      </c>
      <c r="G14" s="27">
        <f>IF(Bilanca!J22=0,"",Bilanca!J22)</f>
      </c>
      <c r="H14" s="224">
        <f t="shared" si="1"/>
        <v>3227081.39</v>
      </c>
      <c r="I14" s="77">
        <f t="shared" si="2"/>
        <v>0</v>
      </c>
      <c r="J14" s="75">
        <f>Bilanca!K22</f>
        <v>5374557</v>
      </c>
      <c r="K14" s="76">
        <f>Bilanca!L22</f>
        <v>9724573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13</v>
      </c>
      <c r="C15" s="27"/>
      <c r="D15" s="27" t="s">
        <v>2272</v>
      </c>
      <c r="E15" s="27">
        <v>1</v>
      </c>
      <c r="F15" s="27">
        <f>Bilanca!I23</f>
        <v>14</v>
      </c>
      <c r="G15" s="27">
        <f>IF(Bilanca!J23=0,"",Bilanca!J23)</f>
      </c>
      <c r="H15" s="224">
        <f t="shared" si="1"/>
        <v>269719.52</v>
      </c>
      <c r="I15" s="27">
        <f t="shared" si="2"/>
        <v>0</v>
      </c>
      <c r="J15" s="75">
        <f>Bilanca!K23</f>
        <v>716778</v>
      </c>
      <c r="K15" s="76">
        <f>Bilanca!L23</f>
        <v>604895</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520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66799406.11</v>
      </c>
      <c r="I18" s="77">
        <f t="shared" si="2"/>
        <v>0</v>
      </c>
      <c r="J18" s="75">
        <f>Bilanca!K26</f>
        <v>160919081</v>
      </c>
      <c r="K18" s="76">
        <f>Bilanca!L26</f>
        <v>116009301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3</v>
      </c>
      <c r="C21" s="27"/>
      <c r="D21" s="27" t="s">
        <v>2272</v>
      </c>
      <c r="E21" s="27">
        <v>1</v>
      </c>
      <c r="F21" s="27">
        <f>Bilanca!I29</f>
        <v>20</v>
      </c>
      <c r="G21" s="27">
        <f>IF(Bilanca!J29=0,"",Bilanca!J29)</f>
      </c>
      <c r="H21" s="224">
        <f t="shared" si="1"/>
        <v>432600</v>
      </c>
      <c r="I21" s="27">
        <f t="shared" si="2"/>
        <v>0</v>
      </c>
      <c r="J21" s="75">
        <f>Bilanca!K29</f>
        <v>721000</v>
      </c>
      <c r="K21" s="76">
        <f>Bilanca!L29</f>
        <v>721000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277</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273</v>
      </c>
      <c r="C26" s="27"/>
      <c r="D26" s="27" t="s">
        <v>2272</v>
      </c>
      <c r="E26" s="27">
        <v>1</v>
      </c>
      <c r="F26" s="27">
        <f>Bilanca!I34</f>
        <v>25</v>
      </c>
      <c r="G26" s="27">
        <f>IF(Bilanca!J34=0,"",Bilanca!J34)</f>
      </c>
      <c r="H26" s="224">
        <f t="shared" si="1"/>
        <v>540750</v>
      </c>
      <c r="I26" s="77">
        <f t="shared" si="2"/>
        <v>0</v>
      </c>
      <c r="J26" s="75">
        <f>Bilanca!K34</f>
        <v>721000</v>
      </c>
      <c r="K26" s="76">
        <f>Bilanca!L34</f>
        <v>721000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278</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277</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1339538.4200000002</v>
      </c>
      <c r="I30" s="77">
        <f t="shared" si="2"/>
        <v>0</v>
      </c>
      <c r="J30" s="75">
        <f>Bilanca!K38</f>
        <v>0</v>
      </c>
      <c r="K30" s="76">
        <f>Bilanca!L38</f>
        <v>2309549</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t="str">
        <f>IF(Bilanca!J41=0,"",Bilanca!J41)</f>
        <v>14</v>
      </c>
      <c r="H33" s="224">
        <f t="shared" si="1"/>
        <v>1478111.36</v>
      </c>
      <c r="I33" s="27">
        <f t="shared" si="2"/>
        <v>0</v>
      </c>
      <c r="J33" s="75">
        <f>Bilanca!K41</f>
        <v>0</v>
      </c>
      <c r="K33" s="76">
        <f>Bilanca!L41</f>
        <v>2309549</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79244232.48</v>
      </c>
      <c r="I35" s="27">
        <f t="shared" si="2"/>
        <v>0</v>
      </c>
      <c r="J35" s="75">
        <f>Bilanca!K43</f>
        <v>81958540</v>
      </c>
      <c r="K35" s="76">
        <f>Bilanca!L43</f>
        <v>75556366</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13</v>
      </c>
      <c r="H36" s="224">
        <f t="shared" si="1"/>
        <v>5936836.85</v>
      </c>
      <c r="I36" s="77">
        <f t="shared" si="2"/>
        <v>0</v>
      </c>
      <c r="J36" s="75">
        <f>Bilanca!K44</f>
        <v>5552865</v>
      </c>
      <c r="K36" s="76">
        <f>Bilanca!L44</f>
        <v>5704763</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6036549.84</v>
      </c>
      <c r="I37" s="27">
        <f t="shared" si="2"/>
        <v>0</v>
      </c>
      <c r="J37" s="75">
        <f>Bilanca!K45</f>
        <v>5476566</v>
      </c>
      <c r="K37" s="76">
        <f>Bilanca!L45</f>
        <v>5645814</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IVA BRKIĆ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023/282-936</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f>TRIM(Opci!H67)</f>
      </c>
      <c r="C41" s="27"/>
      <c r="D41" s="27" t="s">
        <v>2272</v>
      </c>
      <c r="E41" s="27">
        <v>1</v>
      </c>
      <c r="F41" s="27">
        <f>Bilanca!I49</f>
        <v>40</v>
      </c>
      <c r="G41" s="27">
        <f>IF(Bilanca!J49=0,"",Bilanca!J49)</f>
      </c>
      <c r="H41" s="224">
        <f t="shared" si="1"/>
        <v>77678.79999999999</v>
      </c>
      <c r="I41" s="27">
        <f t="shared" si="2"/>
        <v>0</v>
      </c>
      <c r="J41" s="75">
        <f>Bilanca!K49</f>
        <v>76299</v>
      </c>
      <c r="K41" s="76">
        <f>Bilanca!L49</f>
        <v>58949</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iva.brkic@vodovod-zadar.hr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TOMISLAV MATEK</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t="str">
        <f>IF(Bilanca!J52=0,"",Bilanca!J52)</f>
        <v>14</v>
      </c>
      <c r="H44" s="224">
        <f t="shared" si="1"/>
        <v>89885553.96000001</v>
      </c>
      <c r="I44" s="77">
        <f t="shared" si="2"/>
        <v>0</v>
      </c>
      <c r="J44" s="75">
        <f>Bilanca!K52</f>
        <v>72743016</v>
      </c>
      <c r="K44" s="76">
        <f>Bilanca!L52</f>
        <v>68146578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88026345.45</v>
      </c>
      <c r="I46" s="77">
        <f t="shared" si="4"/>
        <v>0</v>
      </c>
      <c r="J46" s="75">
        <f>Bilanca!K54</f>
        <v>66310115</v>
      </c>
      <c r="K46" s="76">
        <f>Bilanca!L54</f>
        <v>64651993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153041.87</v>
      </c>
      <c r="I48" s="77">
        <f t="shared" si="4"/>
        <v>0</v>
      </c>
      <c r="J48" s="75">
        <f>Bilanca!K56</f>
        <v>120019</v>
      </c>
      <c r="K48" s="76">
        <f>Bilanca!L56</f>
        <v>102801</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3484015.2</v>
      </c>
      <c r="I49" s="27">
        <f t="shared" si="4"/>
        <v>0</v>
      </c>
      <c r="J49" s="75">
        <f>Bilanca!K57</f>
        <v>5307087</v>
      </c>
      <c r="K49" s="76">
        <f>Bilanca!L57</f>
        <v>975639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2860661.6500000004</v>
      </c>
      <c r="I50" s="77">
        <f t="shared" si="4"/>
        <v>0</v>
      </c>
      <c r="J50" s="75">
        <f>Bilanca!K58</f>
        <v>1005795</v>
      </c>
      <c r="K50" s="76">
        <f>Bilanca!L58</f>
        <v>2416145</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9108533576.750004</v>
      </c>
      <c r="C59" s="27"/>
      <c r="D59" s="27" t="s">
        <v>2272</v>
      </c>
      <c r="E59" s="27">
        <v>1</v>
      </c>
      <c r="F59" s="27">
        <f>Bilanca!I67</f>
        <v>58</v>
      </c>
      <c r="G59" s="27" t="str">
        <f>IF(Bilanca!J67=0,"",Bilanca!J67)</f>
        <v>16</v>
      </c>
      <c r="H59" s="224">
        <f t="shared" si="3"/>
        <v>4102171.2199999997</v>
      </c>
      <c r="I59" s="27">
        <f t="shared" si="4"/>
        <v>0</v>
      </c>
      <c r="J59" s="75">
        <f>Bilanca!K67</f>
        <v>3662659</v>
      </c>
      <c r="K59" s="76">
        <f>Bilanca!L67</f>
        <v>1705025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1004426333.4000001</v>
      </c>
      <c r="I61" s="27">
        <f>ABS(ROUND(J61,0)-J61)+ABS(ROUND(K61,0)-K61)</f>
        <v>0</v>
      </c>
      <c r="J61" s="75">
        <f>Bilanca!K69</f>
        <v>549926901</v>
      </c>
      <c r="K61" s="76">
        <f>Bilanca!L69</f>
        <v>562058494</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DA</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98910718267</v>
      </c>
      <c r="C63" s="27"/>
      <c r="D63" s="27" t="s">
        <v>2272</v>
      </c>
      <c r="E63" s="27">
        <v>1</v>
      </c>
      <c r="F63" s="27">
        <f>Bilanca!I72</f>
        <v>62</v>
      </c>
      <c r="G63" s="27" t="str">
        <f>IF(Bilanca!J72=0,"",Bilanca!J72)</f>
        <v>17</v>
      </c>
      <c r="H63" s="224">
        <f>J63/100*F63+2*K63/100*F63</f>
        <v>296810059.86</v>
      </c>
      <c r="I63" s="27">
        <f>ABS(ROUND(J63,0)-J63)+ABS(ROUND(K63,0)-K63)</f>
        <v>0</v>
      </c>
      <c r="J63" s="75">
        <f>Bilanca!K72</f>
        <v>159545225</v>
      </c>
      <c r="K63" s="76">
        <f>Bilanca!L72</f>
        <v>159590339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301424382</v>
      </c>
      <c r="I64" s="27">
        <f>ABS(ROUND(J64,0)-J64)+ABS(ROUND(K64,0)-K64)</f>
        <v>0</v>
      </c>
      <c r="J64" s="75">
        <f>Bilanca!K73</f>
        <v>159483800</v>
      </c>
      <c r="K64" s="76">
        <f>Bilanca!L73</f>
        <v>159483800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109497.6</v>
      </c>
      <c r="I73" s="27">
        <f t="shared" si="6"/>
        <v>0</v>
      </c>
      <c r="J73" s="75">
        <f>Bilanca!K82</f>
        <v>29232</v>
      </c>
      <c r="K73" s="76">
        <f>Bilanca!L82</f>
        <v>61424</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111018.40000000001</v>
      </c>
      <c r="I74" s="27">
        <f t="shared" si="6"/>
        <v>0</v>
      </c>
      <c r="J74" s="75">
        <f>Bilanca!K83</f>
        <v>29232</v>
      </c>
      <c r="K74" s="76">
        <f>Bilanca!L83</f>
        <v>61424</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91817.25</v>
      </c>
      <c r="I76" s="27">
        <f t="shared" si="6"/>
        <v>0</v>
      </c>
      <c r="J76" s="75">
        <f>Bilanca!K85</f>
        <v>32193</v>
      </c>
      <c r="K76" s="76">
        <f>Bilanca!L85</f>
        <v>45115</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93041.48000000001</v>
      </c>
      <c r="I77" s="27">
        <f t="shared" si="6"/>
        <v>0</v>
      </c>
      <c r="J77" s="75">
        <f>Bilanca!K86</f>
        <v>32193</v>
      </c>
      <c r="K77" s="76">
        <f>Bilanca!L86</f>
        <v>45115</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t="str">
        <f>IF(Bilanca!J93=0,"",Bilanca!J93)</f>
        <v>18</v>
      </c>
      <c r="H84" s="224">
        <f t="shared" si="5"/>
        <v>675497.1599999999</v>
      </c>
      <c r="I84" s="27">
        <f t="shared" si="6"/>
        <v>0</v>
      </c>
      <c r="J84" s="75">
        <f>Bilanca!K93</f>
        <v>333986</v>
      </c>
      <c r="K84" s="76">
        <f>Bilanca!L93</f>
        <v>239933</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699912.72</v>
      </c>
      <c r="I87" s="27">
        <f t="shared" si="6"/>
        <v>0</v>
      </c>
      <c r="J87" s="75">
        <f>Bilanca!K96</f>
        <v>333986</v>
      </c>
      <c r="K87" s="76">
        <f>Bilanca!L96</f>
        <v>239933</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103338849.06</v>
      </c>
      <c r="I94" s="27">
        <f t="shared" si="6"/>
        <v>0</v>
      </c>
      <c r="J94" s="75">
        <f>Bilanca!K103</f>
        <v>48741224</v>
      </c>
      <c r="K94" s="76">
        <f>Bilanca!L103</f>
        <v>31187909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t="str">
        <f>IF(Bilanca!J106=0,"",Bilanca!J106)</f>
        <v>18</v>
      </c>
      <c r="H97" s="224">
        <f t="shared" si="5"/>
        <v>1274445.1199999999</v>
      </c>
      <c r="I97" s="27">
        <f t="shared" si="6"/>
        <v>0</v>
      </c>
      <c r="J97" s="75">
        <f>Bilanca!K106</f>
        <v>1133097</v>
      </c>
      <c r="K97" s="76">
        <f>Bilanca!L106</f>
        <v>97225</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t="str">
        <f>IF(Bilanca!J107=0,"",Bilanca!J107)</f>
        <v>19</v>
      </c>
      <c r="H98" s="224">
        <f t="shared" si="5"/>
        <v>3615821.4699999997</v>
      </c>
      <c r="I98" s="27">
        <f t="shared" si="6"/>
        <v>0</v>
      </c>
      <c r="J98" s="75">
        <f>Bilanca!K107</f>
        <v>986171</v>
      </c>
      <c r="K98" s="76">
        <f>Bilanca!L107</f>
        <v>1370740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t="str">
        <f>IF(Bilanca!J108=0,"",Bilanca!J108)</f>
        <v>19</v>
      </c>
      <c r="H99" s="224">
        <f aca="true" t="shared" si="8" ref="H99:H107">J99/100*F99+2*K99/100*F99</f>
        <v>26719339.36</v>
      </c>
      <c r="I99" s="27">
        <f aca="true" t="shared" si="9" ref="I99:I107">ABS(ROUND(J99,0)-J99)+ABS(ROUND(K99,0)-K99)</f>
        <v>0</v>
      </c>
      <c r="J99" s="75">
        <f>Bilanca!K108</f>
        <v>19528906</v>
      </c>
      <c r="K99" s="76">
        <f>Bilanca!L108</f>
        <v>3867863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t="str">
        <f>IF(Bilanca!J111=0,"",Bilanca!J111)</f>
        <v>19</v>
      </c>
      <c r="H102" s="224">
        <f t="shared" si="8"/>
        <v>3730543.0700000003</v>
      </c>
      <c r="I102" s="27">
        <f t="shared" si="9"/>
        <v>0</v>
      </c>
      <c r="J102" s="75">
        <f>Bilanca!K111</f>
        <v>1147141</v>
      </c>
      <c r="K102" s="76">
        <f>Bilanca!L111</f>
        <v>1273233</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t="str">
        <f>IF(Bilanca!J112=0,"",Bilanca!J112)</f>
        <v>19</v>
      </c>
      <c r="H103" s="224">
        <f t="shared" si="8"/>
        <v>15750553.379999999</v>
      </c>
      <c r="I103" s="27">
        <f t="shared" si="9"/>
        <v>0</v>
      </c>
      <c r="J103" s="75">
        <f>Bilanca!K112</f>
        <v>4602213</v>
      </c>
      <c r="K103" s="76">
        <f>Bilanca!L112</f>
        <v>5419753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t="str">
        <f>IF(Bilanca!J115=0,"",Bilanca!J115)</f>
        <v>19</v>
      </c>
      <c r="H106" s="224">
        <f t="shared" si="8"/>
        <v>62644980.3</v>
      </c>
      <c r="I106" s="27">
        <f t="shared" si="9"/>
        <v>0</v>
      </c>
      <c r="J106" s="75">
        <f>Bilanca!K115</f>
        <v>21343696</v>
      </c>
      <c r="K106" s="76">
        <f>Bilanca!L115</f>
        <v>19159095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20</v>
      </c>
      <c r="H107" s="224">
        <f t="shared" si="8"/>
        <v>1148390317.52</v>
      </c>
      <c r="I107" s="27">
        <f t="shared" si="9"/>
        <v>0</v>
      </c>
      <c r="J107" s="75">
        <f>Bilanca!K116</f>
        <v>341306466</v>
      </c>
      <c r="K107" s="76">
        <f>Bilanca!L116</f>
        <v>371040313</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1791226961.23</v>
      </c>
      <c r="I108" s="27">
        <f aca="true" t="shared" si="11" ref="I108:I113">ABS(ROUND(J108,0)-J108)+ABS(ROUND(K108,0)-K108)</f>
        <v>0</v>
      </c>
      <c r="J108" s="75">
        <f>Bilanca!K117</f>
        <v>549926901</v>
      </c>
      <c r="K108" s="76">
        <f>Bilanca!L117</f>
        <v>562058494</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219376540.53</v>
      </c>
      <c r="I112" s="27">
        <f t="shared" si="11"/>
        <v>0</v>
      </c>
      <c r="J112" s="75">
        <f>RDG!K9</f>
        <v>68172673</v>
      </c>
      <c r="K112" s="76">
        <f>RDG!L9</f>
        <v>64731925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t="str">
        <f>IF(RDG!J10=0,"",RDG!J10)</f>
        <v>4</v>
      </c>
      <c r="H113" s="224">
        <f t="shared" si="10"/>
        <v>177435969.76</v>
      </c>
      <c r="I113" s="27">
        <f t="shared" si="11"/>
        <v>0</v>
      </c>
      <c r="J113" s="75">
        <f>RDG!K10</f>
        <v>55262115</v>
      </c>
      <c r="K113" s="76">
        <f>RDG!L10</f>
        <v>51581429</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t="str">
        <f>IF(RDG!J11=0,"",RDG!J11)</f>
        <v>5</v>
      </c>
      <c r="H114" s="224">
        <f aca="true" t="shared" si="12" ref="H114:H158">J114/100*F114+2*K114/100*F114</f>
        <v>44309051.5</v>
      </c>
      <c r="I114" s="27">
        <f aca="true" t="shared" si="13" ref="I114:I158">ABS(ROUND(J114,0)-J114)+ABS(ROUND(K114,0)-K114)</f>
        <v>0</v>
      </c>
      <c r="J114" s="75">
        <f>RDG!K11</f>
        <v>12910558</v>
      </c>
      <c r="K114" s="76">
        <f>RDG!L11</f>
        <v>13150496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230802564.59999996</v>
      </c>
      <c r="I115" s="27">
        <f t="shared" si="13"/>
        <v>0</v>
      </c>
      <c r="J115" s="75">
        <f>RDG!K12</f>
        <v>70194876</v>
      </c>
      <c r="K115" s="76">
        <f>RDG!L12</f>
        <v>66131757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6</v>
      </c>
      <c r="H117" s="224">
        <f t="shared" si="12"/>
        <v>90701430.08</v>
      </c>
      <c r="I117" s="27">
        <f t="shared" si="13"/>
        <v>0</v>
      </c>
      <c r="J117" s="75">
        <f>RDG!K14</f>
        <v>29196356</v>
      </c>
      <c r="K117" s="76">
        <f>RDG!L14</f>
        <v>24497266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64059755.760000005</v>
      </c>
      <c r="I118" s="27">
        <f t="shared" si="13"/>
        <v>0</v>
      </c>
      <c r="J118" s="75">
        <f>RDG!K15</f>
        <v>18969002</v>
      </c>
      <c r="K118" s="76">
        <f>RDG!L15</f>
        <v>17891463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27892362.4</v>
      </c>
      <c r="I120" s="27">
        <f t="shared" si="13"/>
        <v>0</v>
      </c>
      <c r="J120" s="75">
        <f>RDG!K17</f>
        <v>10227354</v>
      </c>
      <c r="K120" s="76">
        <f>RDG!L17</f>
        <v>6605803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7</v>
      </c>
      <c r="H121" s="224">
        <f t="shared" si="12"/>
        <v>77930265.60000001</v>
      </c>
      <c r="I121" s="27">
        <f t="shared" si="13"/>
        <v>0</v>
      </c>
      <c r="J121" s="75">
        <f>RDG!K18</f>
        <v>21647936</v>
      </c>
      <c r="K121" s="76">
        <f>RDG!L18</f>
        <v>21646976</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51127100.42</v>
      </c>
      <c r="I122" s="27">
        <f t="shared" si="13"/>
        <v>0</v>
      </c>
      <c r="J122" s="75">
        <f>RDG!K19</f>
        <v>14047826</v>
      </c>
      <c r="K122" s="76">
        <f>RDG!L19</f>
        <v>14102988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17145686.02</v>
      </c>
      <c r="I123" s="27">
        <f t="shared" si="13"/>
        <v>0</v>
      </c>
      <c r="J123" s="75">
        <f>RDG!K20</f>
        <v>4658107</v>
      </c>
      <c r="K123" s="76">
        <f>RDG!L20</f>
        <v>4697867</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10620121.35</v>
      </c>
      <c r="I124" s="27">
        <f t="shared" si="13"/>
        <v>0</v>
      </c>
      <c r="J124" s="75">
        <f>RDG!K21</f>
        <v>2942003</v>
      </c>
      <c r="K124" s="76">
        <f>RDG!L21</f>
        <v>2846121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t="str">
        <f>IF(RDG!J22=0,"",RDG!J22)</f>
        <v>12</v>
      </c>
      <c r="H125" s="224">
        <f t="shared" si="12"/>
        <v>39516566.76</v>
      </c>
      <c r="I125" s="27">
        <f t="shared" si="13"/>
        <v>0</v>
      </c>
      <c r="J125" s="75">
        <f>RDG!K22</f>
        <v>10459799</v>
      </c>
      <c r="K125" s="76">
        <f>RDG!L22</f>
        <v>10704200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t="str">
        <f>IF(RDG!J23=0,"",RDG!J23)</f>
        <v>8</v>
      </c>
      <c r="H126" s="224">
        <f t="shared" si="12"/>
        <v>18417691.25</v>
      </c>
      <c r="I126" s="27">
        <f t="shared" si="13"/>
        <v>0</v>
      </c>
      <c r="J126" s="75">
        <f>RDG!K23</f>
        <v>4776023</v>
      </c>
      <c r="K126" s="76">
        <f>RDG!L23</f>
        <v>4979065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3224666.34</v>
      </c>
      <c r="I127" s="27">
        <f t="shared" si="13"/>
        <v>0</v>
      </c>
      <c r="J127" s="75">
        <f>RDG!K24</f>
        <v>1363403</v>
      </c>
      <c r="K127" s="76">
        <f>RDG!L24</f>
        <v>597928</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t="str">
        <f>IF(RDG!J26=0,"",RDG!J26)</f>
        <v>8</v>
      </c>
      <c r="H129" s="224">
        <f t="shared" si="12"/>
        <v>3275851.52</v>
      </c>
      <c r="I129" s="27">
        <f t="shared" si="13"/>
        <v>0</v>
      </c>
      <c r="J129" s="75">
        <f>RDG!K26</f>
        <v>1363403</v>
      </c>
      <c r="K129" s="76">
        <f>RDG!L26</f>
        <v>597928</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t="str">
        <f>IF(RDG!J28=0,"",RDG!J28)</f>
        <v>8</v>
      </c>
      <c r="H131" s="224">
        <f t="shared" si="12"/>
        <v>13213203.900000002</v>
      </c>
      <c r="I131" s="27">
        <f t="shared" si="13"/>
        <v>0</v>
      </c>
      <c r="J131" s="75">
        <f>RDG!K28</f>
        <v>2751359</v>
      </c>
      <c r="K131" s="76">
        <f>RDG!L28</f>
        <v>3706322</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9</v>
      </c>
      <c r="H132" s="224">
        <f t="shared" si="12"/>
        <v>7283922.26</v>
      </c>
      <c r="I132" s="27">
        <f t="shared" si="13"/>
        <v>0</v>
      </c>
      <c r="J132" s="75">
        <f>RDG!K29</f>
        <v>2378630</v>
      </c>
      <c r="K132" s="76">
        <f>RDG!L29</f>
        <v>1590808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7339524.720000001</v>
      </c>
      <c r="I133" s="27">
        <f t="shared" si="13"/>
        <v>0</v>
      </c>
      <c r="J133" s="75">
        <f>RDG!K30</f>
        <v>2378630</v>
      </c>
      <c r="K133" s="76">
        <f>RDG!L30</f>
        <v>1590808</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9</v>
      </c>
      <c r="H138" s="224">
        <f t="shared" si="12"/>
        <v>624350.0999999999</v>
      </c>
      <c r="I138" s="27">
        <f t="shared" si="13"/>
        <v>0</v>
      </c>
      <c r="J138" s="75">
        <f>RDG!K35</f>
        <v>248156</v>
      </c>
      <c r="K138" s="76">
        <f>RDG!L35</f>
        <v>103787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633464.7</v>
      </c>
      <c r="I140" s="27">
        <f t="shared" si="13"/>
        <v>0</v>
      </c>
      <c r="J140" s="75">
        <f>RDG!K37</f>
        <v>248156</v>
      </c>
      <c r="K140" s="76">
        <f>RDG!L37</f>
        <v>103787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296667282.74</v>
      </c>
      <c r="I147" s="27">
        <f t="shared" si="13"/>
        <v>0</v>
      </c>
      <c r="J147" s="75">
        <f>RDG!K44</f>
        <v>70551303</v>
      </c>
      <c r="K147" s="76">
        <f>RDG!L44</f>
        <v>66322733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298283756.4</v>
      </c>
      <c r="I148" s="27">
        <f t="shared" si="13"/>
        <v>0</v>
      </c>
      <c r="J148" s="75">
        <f>RDG!K45</f>
        <v>70443032</v>
      </c>
      <c r="K148" s="76">
        <f>RDG!L45</f>
        <v>66235544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t="str">
        <f>IF(RDG!J46=0,"",RDG!J46)</f>
        <v>10</v>
      </c>
      <c r="H149" s="224">
        <f t="shared" si="12"/>
        <v>418320.52</v>
      </c>
      <c r="I149" s="27">
        <f t="shared" si="13"/>
        <v>0</v>
      </c>
      <c r="J149" s="75">
        <f>RDG!K46</f>
        <v>108271</v>
      </c>
      <c r="K149" s="76">
        <f>RDG!L46</f>
        <v>87189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421147.01</v>
      </c>
      <c r="I150" s="27">
        <f t="shared" si="13"/>
        <v>0</v>
      </c>
      <c r="J150" s="75">
        <f>RDG!K47</f>
        <v>108271</v>
      </c>
      <c r="K150" s="76">
        <f>RDG!L47</f>
        <v>87189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t="str">
        <f>IF(RDG!J49=0,"",RDG!J49)</f>
        <v>10</v>
      </c>
      <c r="H152" s="224">
        <f t="shared" si="12"/>
        <v>241941.26</v>
      </c>
      <c r="I152" s="27">
        <f t="shared" si="13"/>
        <v>0</v>
      </c>
      <c r="J152" s="75">
        <f>RDG!K49</f>
        <v>76078</v>
      </c>
      <c r="K152" s="76">
        <f>RDG!L49</f>
        <v>42074</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t="str">
        <f>IF(RDG!J50=0,"",RDG!J50)</f>
        <v>10</v>
      </c>
      <c r="H153" s="224">
        <f t="shared" si="12"/>
        <v>186082.96000000002</v>
      </c>
      <c r="I153" s="27">
        <f t="shared" si="13"/>
        <v>0</v>
      </c>
      <c r="J153" s="75">
        <f>RDG!K50</f>
        <v>32193</v>
      </c>
      <c r="K153" s="76">
        <f>RDG!L50</f>
        <v>45115</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187307.19</v>
      </c>
      <c r="I154" s="27">
        <f t="shared" si="13"/>
        <v>0</v>
      </c>
      <c r="J154" s="75">
        <f>RDG!K51</f>
        <v>32193</v>
      </c>
      <c r="K154" s="76">
        <f>RDG!L51</f>
        <v>45115</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t="str">
        <f>IF(RDG!J58=0,"",RDG!J58)</f>
        <v>10</v>
      </c>
      <c r="H158" s="224">
        <f t="shared" si="12"/>
        <v>192204.11000000002</v>
      </c>
      <c r="I158" s="27">
        <f t="shared" si="13"/>
        <v>0</v>
      </c>
      <c r="J158" s="75">
        <f>RDG!K58</f>
        <v>32193</v>
      </c>
      <c r="K158" s="76">
        <f>RDG!L58</f>
        <v>45115</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t="str">
        <f>IF(RDG!J69=0,"",RDG!J69)</f>
        <v>10</v>
      </c>
      <c r="H169" s="224">
        <f t="shared" si="14"/>
        <v>205670.63999999998</v>
      </c>
      <c r="I169" s="27">
        <f t="shared" si="15"/>
        <v>0</v>
      </c>
      <c r="J169" s="75">
        <f>RDG!K69</f>
        <v>32193</v>
      </c>
      <c r="K169" s="76">
        <f>RDG!L69</f>
        <v>45115</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t="str">
        <f>IF(NT_I!J10&lt;&gt;"",NT_I!J10,"")</f>
        <v>10</v>
      </c>
      <c r="H304" s="224">
        <f aca="true" t="shared" si="22" ref="H304:H346">J304/100*F304+2*K304/100*F304</f>
        <v>2826.49</v>
      </c>
      <c r="I304" s="27">
        <f aca="true" t="shared" si="23" ref="I304:I347">ABS(ROUND(J304,0)-J304)+ABS(ROUND(K304,0)-K304)</f>
        <v>0</v>
      </c>
      <c r="J304" s="75">
        <f>NT_I!K10</f>
        <v>108271</v>
      </c>
      <c r="K304" s="76">
        <f>NT_I!L10</f>
        <v>87189</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t="str">
        <f>IF(NT_I!J11&lt;&gt;"",NT_I!J11,"")</f>
        <v>12</v>
      </c>
      <c r="H305" s="224">
        <f t="shared" si="22"/>
        <v>637363.98</v>
      </c>
      <c r="I305" s="27">
        <f t="shared" si="23"/>
        <v>0</v>
      </c>
      <c r="J305" s="75">
        <f>NT_I!K11</f>
        <v>10459799</v>
      </c>
      <c r="K305" s="76">
        <f>NT_I!L11</f>
        <v>10704200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t="str">
        <f>IF(NT_I!J12&lt;&gt;"",NT_I!J12,"")</f>
        <v>19</v>
      </c>
      <c r="H306" s="224">
        <f t="shared" si="22"/>
        <v>77174.94</v>
      </c>
      <c r="I306" s="27">
        <f t="shared" si="23"/>
        <v>0</v>
      </c>
      <c r="J306" s="75">
        <f>NT_I!K12</f>
        <v>2572498</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t="str">
        <f>IF(NT_I!J13&lt;&gt;"",NT_I!J13,"")</f>
        <v>14</v>
      </c>
      <c r="H307" s="224">
        <f t="shared" si="22"/>
        <v>553203.72</v>
      </c>
      <c r="I307" s="27">
        <f t="shared" si="23"/>
        <v>0</v>
      </c>
      <c r="J307" s="75">
        <f>NT_I!K13</f>
        <v>4637217</v>
      </c>
      <c r="K307" s="76">
        <f>NT_I!L13</f>
        <v>4596438</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t="str">
        <f>IF(NT_I!J14&lt;&gt;"",NT_I!J14,"")</f>
        <v>13</v>
      </c>
      <c r="H308" s="224">
        <f t="shared" si="22"/>
        <v>234713.34999999998</v>
      </c>
      <c r="I308" s="27">
        <f t="shared" si="23"/>
        <v>0</v>
      </c>
      <c r="J308" s="75">
        <f>NT_I!K14</f>
        <v>4694267</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3727339.42</v>
      </c>
      <c r="I310" s="27">
        <f t="shared" si="23"/>
        <v>0</v>
      </c>
      <c r="J310" s="75">
        <f>NT_I!K16</f>
        <v>22472052</v>
      </c>
      <c r="K310" s="76">
        <f>NT_I!L16</f>
        <v>15387827</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t="str">
        <f>IF(NT_I!J17&lt;&gt;"",NT_I!J17,"")</f>
        <v>19</v>
      </c>
      <c r="H311" s="224">
        <f t="shared" si="22"/>
        <v>2774365.76</v>
      </c>
      <c r="I311" s="27">
        <f t="shared" si="23"/>
        <v>0</v>
      </c>
      <c r="J311" s="75">
        <f>NT_I!K17</f>
        <v>0</v>
      </c>
      <c r="K311" s="76">
        <f>NT_I!L17</f>
        <v>17339786</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t="str">
        <f>IF(NT_I!J19&lt;&gt;"",NT_I!J19,"")</f>
        <v>13</v>
      </c>
      <c r="H313" s="224">
        <f t="shared" si="22"/>
        <v>30379.6</v>
      </c>
      <c r="I313" s="27">
        <f t="shared" si="23"/>
        <v>0</v>
      </c>
      <c r="J313" s="75">
        <f>NT_I!K19</f>
        <v>0</v>
      </c>
      <c r="K313" s="76">
        <f>NT_I!L19</f>
        <v>151898</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2003707.3099999998</v>
      </c>
      <c r="I314" s="27">
        <f t="shared" si="23"/>
        <v>0</v>
      </c>
      <c r="J314" s="75">
        <f>NT_I!K20</f>
        <v>13512271</v>
      </c>
      <c r="K314" s="76">
        <f>NT_I!L20</f>
        <v>2351625</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6383866.68</v>
      </c>
      <c r="I315" s="27">
        <f t="shared" si="23"/>
        <v>0</v>
      </c>
      <c r="J315" s="75">
        <f>NT_I!K21</f>
        <v>13512271</v>
      </c>
      <c r="K315" s="76">
        <f>NT_I!L21</f>
        <v>19843309</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1164771.53</v>
      </c>
      <c r="I316" s="27">
        <f t="shared" si="23"/>
        <v>0</v>
      </c>
      <c r="J316" s="75">
        <f>NT_I!K22</f>
        <v>8959781</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1247534.96</v>
      </c>
      <c r="I317" s="27">
        <f t="shared" si="23"/>
        <v>0</v>
      </c>
      <c r="J317" s="75">
        <f>NT_I!K23</f>
        <v>0</v>
      </c>
      <c r="K317" s="76">
        <f>NT_I!L23</f>
        <v>4455482</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t="str">
        <f>IF(NT_I!J29&lt;&gt;"",NT_I!J29,"")</f>
        <v>20</v>
      </c>
      <c r="H322" s="224">
        <f t="shared" si="22"/>
        <v>16294146.919999998</v>
      </c>
      <c r="I322" s="27">
        <f t="shared" si="23"/>
        <v>0</v>
      </c>
      <c r="J322" s="75">
        <f>NT_I!K29</f>
        <v>26290974</v>
      </c>
      <c r="K322" s="76">
        <f>NT_I!L29</f>
        <v>29733847</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17151733.599999998</v>
      </c>
      <c r="I323" s="27">
        <f t="shared" si="23"/>
        <v>0</v>
      </c>
      <c r="J323" s="75">
        <f>NT_I!K30</f>
        <v>26290974</v>
      </c>
      <c r="K323" s="76">
        <f>NT_I!L30</f>
        <v>29733847</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t="str">
        <f>IF(NT_I!J31&lt;&gt;"",NT_I!J31,"")</f>
        <v>12</v>
      </c>
      <c r="H324" s="224">
        <f t="shared" si="22"/>
        <v>19335436.47</v>
      </c>
      <c r="I324" s="27">
        <f t="shared" si="23"/>
        <v>0</v>
      </c>
      <c r="J324" s="75">
        <f>NT_I!K31</f>
        <v>38216671</v>
      </c>
      <c r="K324" s="76">
        <f>NT_I!L31</f>
        <v>26928418</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158620</v>
      </c>
      <c r="I325" s="27">
        <f t="shared" si="23"/>
        <v>0</v>
      </c>
      <c r="J325" s="75">
        <f>NT_I!K32</f>
        <v>721000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22270681.68</v>
      </c>
      <c r="I327" s="27">
        <f t="shared" si="23"/>
        <v>0</v>
      </c>
      <c r="J327" s="75">
        <f>NT_I!K34</f>
        <v>38937671</v>
      </c>
      <c r="K327" s="76">
        <f>NT_I!L34</f>
        <v>26928418</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1402714.5</v>
      </c>
      <c r="I328" s="27">
        <f t="shared" si="23"/>
        <v>0</v>
      </c>
      <c r="J328" s="75">
        <f>NT_I!K35</f>
        <v>0</v>
      </c>
      <c r="K328" s="76">
        <f>NT_I!L35</f>
        <v>2805429</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3288141.22</v>
      </c>
      <c r="I329" s="27">
        <f t="shared" si="23"/>
        <v>0</v>
      </c>
      <c r="J329" s="75">
        <f>NT_I!K36</f>
        <v>12646697</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1215769.9</v>
      </c>
      <c r="I332" s="27">
        <f t="shared" si="23"/>
        <v>0</v>
      </c>
      <c r="J332" s="75">
        <f>NT_I!K40</f>
        <v>4192310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1257693</v>
      </c>
      <c r="I333" s="27">
        <f t="shared" si="23"/>
        <v>0</v>
      </c>
      <c r="J333" s="75">
        <f>NT_I!K41</f>
        <v>4192310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t="str">
        <f>IF(NT_I!J44&lt;&gt;"",NT_I!J44,"")</f>
        <v>18</v>
      </c>
      <c r="H336" s="224">
        <f t="shared" si="22"/>
        <v>280832.97</v>
      </c>
      <c r="I336" s="27">
        <f t="shared" si="23"/>
        <v>0</v>
      </c>
      <c r="J336" s="75">
        <f>NT_I!K44</f>
        <v>235847</v>
      </c>
      <c r="K336" s="76">
        <f>NT_I!L44</f>
        <v>307581</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306363.24</v>
      </c>
      <c r="I339" s="27">
        <f t="shared" si="23"/>
        <v>0</v>
      </c>
      <c r="J339" s="75">
        <f>NT_I!K47</f>
        <v>235847</v>
      </c>
      <c r="K339" s="76">
        <f>NT_I!L47</f>
        <v>307581</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1463891.3099999998</v>
      </c>
      <c r="I340" s="27">
        <f t="shared" si="23"/>
        <v>0</v>
      </c>
      <c r="J340" s="75">
        <f>NT_I!K48</f>
        <v>3956463</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233761.56</v>
      </c>
      <c r="I341" s="27">
        <f t="shared" si="23"/>
        <v>0</v>
      </c>
      <c r="J341" s="75">
        <f>NT_I!K49</f>
        <v>0</v>
      </c>
      <c r="K341" s="76">
        <f>NT_I!L49</f>
        <v>307581</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105123.32999999999</v>
      </c>
      <c r="I342" s="27">
        <f t="shared" si="23"/>
        <v>0</v>
      </c>
      <c r="J342" s="75">
        <f>NT_I!K50</f>
        <v>269547</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1566107.2</v>
      </c>
      <c r="I343" s="27">
        <f t="shared" si="23"/>
        <v>0</v>
      </c>
      <c r="J343" s="75">
        <f>NT_I!K51</f>
        <v>0</v>
      </c>
      <c r="K343" s="76">
        <f>NT_I!L51</f>
        <v>1957634</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t="str">
        <f>IF(NT_I!J52&lt;&gt;"",NT_I!J52,"")</f>
        <v>16</v>
      </c>
      <c r="H344" s="224">
        <f t="shared" si="22"/>
        <v>4394556.3</v>
      </c>
      <c r="I344" s="27">
        <f t="shared" si="23"/>
        <v>0</v>
      </c>
      <c r="J344" s="75">
        <f>NT_I!K52</f>
        <v>3393112</v>
      </c>
      <c r="K344" s="76">
        <f>NT_I!L52</f>
        <v>3662659</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113209.73999999999</v>
      </c>
      <c r="I345" s="27">
        <f t="shared" si="23"/>
        <v>0</v>
      </c>
      <c r="J345" s="75">
        <f>NT_I!K53</f>
        <v>269547</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t="str">
        <f>IF(NT_I!J54&lt;&gt;"",NT_I!J54,"")</f>
        <v>16</v>
      </c>
      <c r="H346" s="224">
        <f t="shared" si="22"/>
        <v>1683565.24</v>
      </c>
      <c r="I346" s="27">
        <f t="shared" si="23"/>
        <v>0</v>
      </c>
      <c r="J346" s="75">
        <f>NT_I!K54</f>
        <v>0</v>
      </c>
      <c r="K346" s="76">
        <f>NT_I!L54</f>
        <v>1957634</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3111991.96</v>
      </c>
      <c r="I347" s="27">
        <f t="shared" si="23"/>
        <v>0</v>
      </c>
      <c r="J347" s="75">
        <f>NT_I!K55</f>
        <v>3662659</v>
      </c>
      <c r="K347" s="76">
        <f>NT_I!L55</f>
        <v>1705025</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51"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03410153; VODOVOD D.O.O ZADAR</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7" activePane="bottomLeft" state="frozen"/>
      <selection pane="topLeft" activeCell="A1" sqref="A1"/>
      <selection pane="bottomLeft" activeCell="B73" sqref="B73"/>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3, a upisana veličina je 3</v>
      </c>
      <c r="D55" s="630"/>
      <c r="E55" s="630"/>
      <c r="F55" s="630"/>
      <c r="G55" s="630"/>
      <c r="H55" s="630"/>
      <c r="I55" s="630"/>
      <c r="J55" s="630"/>
      <c r="L55" s="35">
        <f>IF(Opci!C47=M55,0,1)</f>
        <v>0</v>
      </c>
      <c r="M55" s="131">
        <f>1+N55+O55</f>
        <v>3</v>
      </c>
      <c r="N55" s="132">
        <f>IF(Q55+R55+S55&gt;1,1,0)</f>
        <v>1</v>
      </c>
      <c r="O55" s="133">
        <f>IF(U55+V55+W55&gt;1,1,0)</f>
        <v>1</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1</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VODOVOD1@VODOVOD-ZADAR.HR</v>
      </c>
      <c r="N59" s="201" t="str">
        <f>UPPER(TRIM(Opci!C69))</f>
        <v>IVA.BRKIC@VODOVOD-ZADAR.HR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H:\My Documents\Izvještaji 2014\[GFI-POD - financ. izvj.xls]NT_I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0.36036036036036034</v>
      </c>
      <c r="P92">
        <f>IF(Opci!E53+Opci!E55&gt;20,ABS(Opci!E53-Opci!E55)/(Opci!E53+Opci!E55)*200,0)</f>
        <v>1.4545454545454546</v>
      </c>
      <c r="Q92">
        <f>IF(Opci!C53+Opci!E53&gt;20,ABS(Opci!C53-Opci!E53)/(Opci!C53+Opci!E53)*200,0)</f>
        <v>1.4545454545454546</v>
      </c>
      <c r="R92">
        <f>IF(Opci!C55+Opci!E55,ABS(Opci!C55-Opci!E55)/(Opci!C55+Opci!E55)*200,0)</f>
        <v>0.36036036036036034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VODOVOD D.O.O ZADAR</v>
      </c>
      <c r="B21" s="250"/>
      <c r="C21" s="250"/>
      <c r="D21" s="250"/>
      <c r="E21" s="250"/>
      <c r="F21" s="250"/>
      <c r="G21" s="250"/>
      <c r="H21" s="251"/>
      <c r="I21" s="252"/>
      <c r="J21" s="253"/>
    </row>
    <row r="22" spans="1:10" ht="13.5" customHeight="1">
      <c r="A22" s="255" t="str">
        <f>IF(Opci!C29&lt;&gt;"",MID(Opci!C29,1,30),"")</f>
        <v>ŠPIRE BRUSINE 17</v>
      </c>
      <c r="B22" s="249"/>
      <c r="C22" s="249"/>
      <c r="D22" s="249"/>
      <c r="E22" s="249"/>
      <c r="F22" s="249"/>
      <c r="G22" s="249"/>
      <c r="H22" s="80"/>
      <c r="I22" s="247"/>
      <c r="J22" s="246"/>
    </row>
    <row r="23" spans="1:10" ht="13.5" customHeight="1">
      <c r="A23" s="255" t="str">
        <f>IF(AND(Opci!C27&lt;&gt;"",Opci!F27&lt;&gt;""),MID(Opci!C27&amp;" "&amp;Opci!F27,1,30),"")</f>
        <v>23000 ZADAR</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9 4 0 6 8 2 5 0 0 3</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3"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8" activePane="bottomLeft" state="frozen"/>
      <selection pane="topLeft" activeCell="A1" sqref="A1"/>
      <selection pane="bottomLeft" activeCell="I53" sqref="I53:N54"/>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341015.3</v>
      </c>
      <c r="T2" s="192">
        <f>INT(VALUE(C21))/50</f>
        <v>1201673.08</v>
      </c>
      <c r="U2" s="192">
        <f>INT(VALUE(C23))/100</f>
        <v>894068250.03</v>
      </c>
      <c r="V2" s="192">
        <f>LEN(Skriveni!B9)</f>
        <v>19</v>
      </c>
      <c r="W2" s="192">
        <f>INT(VALUE(C27))/100</f>
        <v>230</v>
      </c>
      <c r="X2" s="192">
        <f>LEN(Skriveni!B11)</f>
        <v>5</v>
      </c>
      <c r="Y2" s="192">
        <f>LEN(Skriveni!B12)</f>
        <v>16</v>
      </c>
      <c r="Z2" s="192">
        <f>INT(VALUE(C35))</f>
        <v>520</v>
      </c>
      <c r="AA2" s="192">
        <f>INT(VALUE(C39))</f>
        <v>3600</v>
      </c>
      <c r="AB2" s="192">
        <f>IF(C41="DA",1,0)</f>
        <v>0</v>
      </c>
      <c r="AC2" s="192">
        <f>IF(C43="DA",1,0)</f>
        <v>1</v>
      </c>
      <c r="AD2" s="192">
        <f>INT(VALUE(C45))</f>
        <v>2</v>
      </c>
      <c r="AE2" s="192">
        <f>INT(VALUE(C47))</f>
        <v>3</v>
      </c>
      <c r="AF2" s="192">
        <f>INT(VALUE(C49))</f>
        <v>11</v>
      </c>
      <c r="AG2" s="192">
        <f>C51*2+E51</f>
        <v>200</v>
      </c>
      <c r="AH2" s="192">
        <f>C53+2*E53+3*C55+4*E55</f>
        <v>2765</v>
      </c>
      <c r="AI2" s="192">
        <f>C57*2+E57</f>
        <v>36</v>
      </c>
      <c r="AJ2" s="192">
        <f>LEN(Skriveni!B43)</f>
        <v>14</v>
      </c>
      <c r="AK2" s="220">
        <f>INT(VALUE(E43))/100</f>
        <v>989107182.67</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41275</v>
      </c>
      <c r="F5" s="402"/>
      <c r="G5" s="146" t="s">
        <v>2278</v>
      </c>
      <c r="H5" s="401">
        <v>41639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03" t="str">
        <f>IF(E9&lt;&gt;""," "&amp;LOOKUP(E9,AB29:AB45,AC29:AC45),"")</f>
        <v> Javno trgovačko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2013</v>
      </c>
      <c r="H14" s="450" t="s">
        <v>1010</v>
      </c>
      <c r="I14" s="451"/>
      <c r="J14" s="451"/>
      <c r="K14" s="97"/>
      <c r="L14" s="162"/>
      <c r="M14" s="162"/>
      <c r="N14" s="162"/>
    </row>
    <row r="15" spans="1:14" ht="19.5" customHeight="1">
      <c r="A15" s="452">
        <f>SUM(Skriveni!H2:H392)+SUM(P2:AK2)+SUM(Skriveni!AC2:AC101)</f>
        <v>9108533576.750004</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23000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520</v>
      </c>
      <c r="D35" s="417" t="str">
        <f>IF(C35&lt;&gt;"",LOOKUP(C35,P29:P584,Q29:Q584),"Nije upisana općina!")</f>
        <v>Zadar</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13</v>
      </c>
      <c r="D37" s="417" t="str">
        <f>IF(C37&lt;&gt;"",LOOKUP(C37,T29:T49,U29:U49),"")</f>
        <v>ZADARSKA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2608</v>
      </c>
      <c r="D39" s="422" t="str">
        <f>IF(C39&lt;&gt;"",LOOKUP(C39,Djel!A5:A621,Djel!B5:B621),"Djelatnost nije upisana!")</f>
        <v>Skupljanje, pročišćavanje i opskrba vodom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2985</v>
      </c>
      <c r="D43" s="217" t="s">
        <v>2689</v>
      </c>
      <c r="E43" s="424" t="s">
        <v>2986</v>
      </c>
      <c r="F43" s="425"/>
      <c r="G43" s="46"/>
      <c r="H43" s="124" t="s">
        <v>2985</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3</v>
      </c>
      <c r="D47" s="391" t="str">
        <f>IF(C47&lt;&gt;"",LOOKUP(C47,Sifre!A6:A8,Sifre!B6:B8),"Veličina nije upisana")</f>
        <v>Veliki poduzetnik</v>
      </c>
      <c r="E47" s="392"/>
      <c r="F47" s="392"/>
      <c r="G47" s="392"/>
      <c r="H47" s="124" t="s">
        <v>2985</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2985</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2985</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277</v>
      </c>
      <c r="D53" s="171"/>
      <c r="E53" s="190">
        <v>273</v>
      </c>
      <c r="F53" s="171"/>
      <c r="G53" s="97"/>
      <c r="H53" s="124" t="s">
        <v>2985</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278</v>
      </c>
      <c r="D55" s="171"/>
      <c r="E55" s="191">
        <v>277</v>
      </c>
      <c r="F55" s="171"/>
      <c r="G55" s="97"/>
      <c r="H55" s="124" t="s">
        <v>2985</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2985</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2983</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J107" sqref="J10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89406825003; VODOVOD D.O.O ZADAR</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t="s">
        <v>2991</v>
      </c>
      <c r="K11" s="59">
        <f>K12+K19+K29+K38+K42</f>
        <v>467968361</v>
      </c>
      <c r="L11" s="59">
        <f>L12+L19+L29+L38+L42</f>
        <v>486502128</v>
      </c>
    </row>
    <row r="12" spans="1:12" ht="13.5" customHeight="1">
      <c r="A12" s="483" t="s">
        <v>753</v>
      </c>
      <c r="B12" s="484"/>
      <c r="C12" s="484"/>
      <c r="D12" s="484"/>
      <c r="E12" s="484"/>
      <c r="F12" s="484"/>
      <c r="G12" s="484"/>
      <c r="H12" s="485"/>
      <c r="I12" s="4">
        <v>3</v>
      </c>
      <c r="J12" s="8"/>
      <c r="K12" s="59">
        <f>SUM(K13:K18)</f>
        <v>0</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t="s">
        <v>2991</v>
      </c>
      <c r="K19" s="59">
        <f>SUM(K20:K28)</f>
        <v>467247361</v>
      </c>
      <c r="L19" s="59">
        <f>SUM(L20:L28)</f>
        <v>483471579</v>
      </c>
    </row>
    <row r="20" spans="1:12" ht="13.5" customHeight="1">
      <c r="A20" s="477" t="s">
        <v>1436</v>
      </c>
      <c r="B20" s="478"/>
      <c r="C20" s="478"/>
      <c r="D20" s="478"/>
      <c r="E20" s="478"/>
      <c r="F20" s="478"/>
      <c r="G20" s="478"/>
      <c r="H20" s="479"/>
      <c r="I20" s="4">
        <v>11</v>
      </c>
      <c r="J20" s="8"/>
      <c r="K20" s="60">
        <v>46797397</v>
      </c>
      <c r="L20" s="60">
        <v>46797397</v>
      </c>
    </row>
    <row r="21" spans="1:12" ht="13.5" customHeight="1">
      <c r="A21" s="477" t="s">
        <v>186</v>
      </c>
      <c r="B21" s="478"/>
      <c r="C21" s="478"/>
      <c r="D21" s="478"/>
      <c r="E21" s="478"/>
      <c r="F21" s="478"/>
      <c r="G21" s="478"/>
      <c r="H21" s="479"/>
      <c r="I21" s="4">
        <v>12</v>
      </c>
      <c r="J21" s="8"/>
      <c r="K21" s="60">
        <v>253439548</v>
      </c>
      <c r="L21" s="60">
        <v>310335413</v>
      </c>
    </row>
    <row r="22" spans="1:12" ht="13.5" customHeight="1">
      <c r="A22" s="477" t="s">
        <v>1437</v>
      </c>
      <c r="B22" s="478"/>
      <c r="C22" s="478"/>
      <c r="D22" s="478"/>
      <c r="E22" s="478"/>
      <c r="F22" s="478"/>
      <c r="G22" s="478"/>
      <c r="H22" s="479"/>
      <c r="I22" s="4">
        <v>13</v>
      </c>
      <c r="J22" s="8"/>
      <c r="K22" s="60">
        <v>5374557</v>
      </c>
      <c r="L22" s="60">
        <v>9724573</v>
      </c>
    </row>
    <row r="23" spans="1:12" ht="13.5" customHeight="1">
      <c r="A23" s="477" t="s">
        <v>1273</v>
      </c>
      <c r="B23" s="478"/>
      <c r="C23" s="478"/>
      <c r="D23" s="478"/>
      <c r="E23" s="478"/>
      <c r="F23" s="478"/>
      <c r="G23" s="478"/>
      <c r="H23" s="479"/>
      <c r="I23" s="4">
        <v>14</v>
      </c>
      <c r="J23" s="8"/>
      <c r="K23" s="60">
        <v>716778</v>
      </c>
      <c r="L23" s="60">
        <v>604895</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160919081</v>
      </c>
      <c r="L26" s="60">
        <v>116009301</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721000</v>
      </c>
      <c r="L29" s="59">
        <f>SUM(L30:L37)</f>
        <v>721000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v>721000</v>
      </c>
      <c r="L34" s="60">
        <v>721000</v>
      </c>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2309549</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t="s">
        <v>2995</v>
      </c>
      <c r="K41" s="60"/>
      <c r="L41" s="60">
        <v>2309549</v>
      </c>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81958540</v>
      </c>
      <c r="L43" s="59">
        <f>L44+L52+L59+L67</f>
        <v>75556366</v>
      </c>
    </row>
    <row r="44" spans="1:12" ht="13.5" customHeight="1">
      <c r="A44" s="483" t="s">
        <v>319</v>
      </c>
      <c r="B44" s="484"/>
      <c r="C44" s="484"/>
      <c r="D44" s="484"/>
      <c r="E44" s="484"/>
      <c r="F44" s="484"/>
      <c r="G44" s="484"/>
      <c r="H44" s="485"/>
      <c r="I44" s="4">
        <v>35</v>
      </c>
      <c r="J44" s="8" t="s">
        <v>2996</v>
      </c>
      <c r="K44" s="59">
        <f>SUM(K45:K51)</f>
        <v>5552865</v>
      </c>
      <c r="L44" s="59">
        <f>SUM(L45:L51)</f>
        <v>5704763</v>
      </c>
    </row>
    <row r="45" spans="1:12" ht="13.5" customHeight="1">
      <c r="A45" s="477" t="s">
        <v>1485</v>
      </c>
      <c r="B45" s="478"/>
      <c r="C45" s="478"/>
      <c r="D45" s="478"/>
      <c r="E45" s="478"/>
      <c r="F45" s="478"/>
      <c r="G45" s="478"/>
      <c r="H45" s="479"/>
      <c r="I45" s="4">
        <v>36</v>
      </c>
      <c r="J45" s="8"/>
      <c r="K45" s="60">
        <v>5476566</v>
      </c>
      <c r="L45" s="60">
        <v>5645814</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v>76299</v>
      </c>
      <c r="L49" s="60">
        <v>58949</v>
      </c>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2995</v>
      </c>
      <c r="K52" s="59">
        <f>SUM(K53:K58)</f>
        <v>72743016</v>
      </c>
      <c r="L52" s="59">
        <f>SUM(L53:L58)</f>
        <v>68146578</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f>67058397-748282</f>
        <v>66310115</v>
      </c>
      <c r="L54" s="60">
        <f>64657782-5789</f>
        <v>64651993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120019</v>
      </c>
      <c r="L56" s="60">
        <v>102801</v>
      </c>
    </row>
    <row r="57" spans="1:12" ht="13.5" customHeight="1">
      <c r="A57" s="477" t="s">
        <v>663</v>
      </c>
      <c r="B57" s="478"/>
      <c r="C57" s="478"/>
      <c r="D57" s="478"/>
      <c r="E57" s="478"/>
      <c r="F57" s="478"/>
      <c r="G57" s="478"/>
      <c r="H57" s="479"/>
      <c r="I57" s="4">
        <v>48</v>
      </c>
      <c r="J57" s="8"/>
      <c r="K57" s="60">
        <v>5307087</v>
      </c>
      <c r="L57" s="60">
        <f>3360326-2390476+5789</f>
        <v>975639</v>
      </c>
    </row>
    <row r="58" spans="1:12" ht="13.5" customHeight="1">
      <c r="A58" s="477" t="s">
        <v>664</v>
      </c>
      <c r="B58" s="478"/>
      <c r="C58" s="478"/>
      <c r="D58" s="478"/>
      <c r="E58" s="478"/>
      <c r="F58" s="478"/>
      <c r="G58" s="478"/>
      <c r="H58" s="479"/>
      <c r="I58" s="4">
        <v>49</v>
      </c>
      <c r="J58" s="8"/>
      <c r="K58" s="60">
        <f>257513+748282</f>
        <v>1005795</v>
      </c>
      <c r="L58" s="60">
        <f>25669+2390476</f>
        <v>2416145</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t="s">
        <v>2997</v>
      </c>
      <c r="K67" s="60">
        <v>3662659</v>
      </c>
      <c r="L67" s="60">
        <v>1705025</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549926901</v>
      </c>
      <c r="L69" s="59">
        <f>L10+L11+L43+L68</f>
        <v>562058494</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2998</v>
      </c>
      <c r="K72" s="79">
        <f>K73+K74+K75+K81+K82+K85+K88</f>
        <v>159545225</v>
      </c>
      <c r="L72" s="79">
        <f>L73+L74+L75+L81+L82+L85+L88</f>
        <v>159590339</v>
      </c>
    </row>
    <row r="73" spans="1:12" ht="13.5" customHeight="1">
      <c r="A73" s="483" t="s">
        <v>2741</v>
      </c>
      <c r="B73" s="484"/>
      <c r="C73" s="484"/>
      <c r="D73" s="484"/>
      <c r="E73" s="484"/>
      <c r="F73" s="484"/>
      <c r="G73" s="484"/>
      <c r="H73" s="485"/>
      <c r="I73" s="4">
        <v>63</v>
      </c>
      <c r="J73" s="8"/>
      <c r="K73" s="60">
        <v>159483800</v>
      </c>
      <c r="L73" s="60">
        <v>159483800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29232</v>
      </c>
      <c r="L82" s="59">
        <f>L83-L84</f>
        <v>61424</v>
      </c>
    </row>
    <row r="83" spans="1:12" ht="13.5" customHeight="1">
      <c r="A83" s="486" t="s">
        <v>2824</v>
      </c>
      <c r="B83" s="487"/>
      <c r="C83" s="487"/>
      <c r="D83" s="487"/>
      <c r="E83" s="487"/>
      <c r="F83" s="487"/>
      <c r="G83" s="487"/>
      <c r="H83" s="488"/>
      <c r="I83" s="4">
        <v>73</v>
      </c>
      <c r="J83" s="8"/>
      <c r="K83" s="60">
        <v>29232</v>
      </c>
      <c r="L83" s="60">
        <v>61424</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32193</v>
      </c>
      <c r="L85" s="59">
        <f>L86-L87</f>
        <v>45115</v>
      </c>
    </row>
    <row r="86" spans="1:12" ht="13.5" customHeight="1">
      <c r="A86" s="486" t="s">
        <v>2826</v>
      </c>
      <c r="B86" s="487"/>
      <c r="C86" s="487"/>
      <c r="D86" s="487"/>
      <c r="E86" s="487"/>
      <c r="F86" s="487"/>
      <c r="G86" s="487"/>
      <c r="H86" s="488"/>
      <c r="I86" s="4">
        <v>76</v>
      </c>
      <c r="J86" s="8"/>
      <c r="K86" s="60">
        <v>32193</v>
      </c>
      <c r="L86" s="60">
        <v>45115</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t="s">
        <v>2999</v>
      </c>
      <c r="K93" s="59">
        <f>SUM(K94:K102)</f>
        <v>333986</v>
      </c>
      <c r="L93" s="59">
        <f>SUM(L94:L102)</f>
        <v>239933</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v>333986</v>
      </c>
      <c r="L96" s="60">
        <v>239933</v>
      </c>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48741224</v>
      </c>
      <c r="L103" s="59">
        <f>SUM(L104:L115)</f>
        <v>31187909</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t="s">
        <v>2999</v>
      </c>
      <c r="K106" s="60">
        <v>1133097</v>
      </c>
      <c r="L106" s="60">
        <v>97225</v>
      </c>
    </row>
    <row r="107" spans="1:12" ht="13.5" customHeight="1">
      <c r="A107" s="477" t="s">
        <v>179</v>
      </c>
      <c r="B107" s="478"/>
      <c r="C107" s="478"/>
      <c r="D107" s="478"/>
      <c r="E107" s="478"/>
      <c r="F107" s="478"/>
      <c r="G107" s="478"/>
      <c r="H107" s="479"/>
      <c r="I107" s="4">
        <v>97</v>
      </c>
      <c r="J107" s="8" t="s">
        <v>3000</v>
      </c>
      <c r="K107" s="60">
        <v>986171</v>
      </c>
      <c r="L107" s="60">
        <v>1370740</v>
      </c>
    </row>
    <row r="108" spans="1:12" ht="13.5" customHeight="1">
      <c r="A108" s="477" t="s">
        <v>180</v>
      </c>
      <c r="B108" s="478"/>
      <c r="C108" s="478"/>
      <c r="D108" s="478"/>
      <c r="E108" s="478"/>
      <c r="F108" s="478"/>
      <c r="G108" s="478"/>
      <c r="H108" s="479"/>
      <c r="I108" s="4">
        <v>98</v>
      </c>
      <c r="J108" s="8" t="s">
        <v>3000</v>
      </c>
      <c r="K108" s="60">
        <v>19528906</v>
      </c>
      <c r="L108" s="60">
        <v>3867863</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t="s">
        <v>3000</v>
      </c>
      <c r="K111" s="60">
        <v>1147141</v>
      </c>
      <c r="L111" s="60">
        <f>1172732+92501+8000</f>
        <v>1273233</v>
      </c>
    </row>
    <row r="112" spans="1:12" ht="13.5" customHeight="1">
      <c r="A112" s="477" t="s">
        <v>314</v>
      </c>
      <c r="B112" s="478"/>
      <c r="C112" s="478"/>
      <c r="D112" s="478"/>
      <c r="E112" s="478"/>
      <c r="F112" s="478"/>
      <c r="G112" s="478"/>
      <c r="H112" s="479"/>
      <c r="I112" s="4">
        <v>102</v>
      </c>
      <c r="J112" s="8" t="s">
        <v>3000</v>
      </c>
      <c r="K112" s="60">
        <f>4582444+19769</f>
        <v>4602213</v>
      </c>
      <c r="L112" s="60">
        <f>5512254-92501</f>
        <v>5419753</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t="s">
        <v>3000</v>
      </c>
      <c r="K115" s="60">
        <f>21363465-19769</f>
        <v>21343696</v>
      </c>
      <c r="L115" s="60">
        <f>19159095</f>
        <v>19159095</v>
      </c>
    </row>
    <row r="116" spans="1:12" ht="13.5" customHeight="1">
      <c r="A116" s="499" t="s">
        <v>1525</v>
      </c>
      <c r="B116" s="500"/>
      <c r="C116" s="500"/>
      <c r="D116" s="500"/>
      <c r="E116" s="500"/>
      <c r="F116" s="500"/>
      <c r="G116" s="500"/>
      <c r="H116" s="501"/>
      <c r="I116" s="4">
        <v>106</v>
      </c>
      <c r="J116" s="8" t="s">
        <v>3001</v>
      </c>
      <c r="K116" s="60">
        <v>341306466</v>
      </c>
      <c r="L116" s="60">
        <f>371048313-8000</f>
        <v>371040313</v>
      </c>
    </row>
    <row r="117" spans="1:12" ht="13.5" customHeight="1">
      <c r="A117" s="499" t="s">
        <v>1271</v>
      </c>
      <c r="B117" s="500"/>
      <c r="C117" s="500"/>
      <c r="D117" s="500"/>
      <c r="E117" s="500"/>
      <c r="F117" s="500"/>
      <c r="G117" s="500"/>
      <c r="H117" s="501"/>
      <c r="I117" s="4">
        <v>107</v>
      </c>
      <c r="J117" s="8"/>
      <c r="K117" s="59">
        <f>K72+K89+K93+K103+K116</f>
        <v>549926901</v>
      </c>
      <c r="L117" s="59">
        <f>L72+L89+L93+L103+L116</f>
        <v>562058494</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 activePane="bottomLeft" state="frozen"/>
      <selection pane="topLeft" activeCell="A1" sqref="A1"/>
      <selection pane="bottomLeft" activeCell="K50" sqref="K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89406825003; VODOVOD D.O.O ZADAR</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1</v>
      </c>
      <c r="R8" s="207" t="s">
        <v>2817</v>
      </c>
    </row>
    <row r="9" spans="1:12" s="3" customFormat="1" ht="13.5" customHeight="1">
      <c r="A9" s="480" t="s">
        <v>1272</v>
      </c>
      <c r="B9" s="481"/>
      <c r="C9" s="481"/>
      <c r="D9" s="481"/>
      <c r="E9" s="481"/>
      <c r="F9" s="481"/>
      <c r="G9" s="481"/>
      <c r="H9" s="482"/>
      <c r="I9" s="6">
        <v>111</v>
      </c>
      <c r="J9" s="7"/>
      <c r="K9" s="79">
        <f>SUM(K10:K11)</f>
        <v>68172673</v>
      </c>
      <c r="L9" s="79">
        <f>SUM(L10:L11)</f>
        <v>64731925</v>
      </c>
    </row>
    <row r="10" spans="1:12" s="3" customFormat="1" ht="13.5" customHeight="1">
      <c r="A10" s="499" t="s">
        <v>1722</v>
      </c>
      <c r="B10" s="500"/>
      <c r="C10" s="500"/>
      <c r="D10" s="500"/>
      <c r="E10" s="500"/>
      <c r="F10" s="500"/>
      <c r="G10" s="500"/>
      <c r="H10" s="501"/>
      <c r="I10" s="4">
        <v>112</v>
      </c>
      <c r="J10" s="8" t="s">
        <v>2987</v>
      </c>
      <c r="K10" s="60">
        <v>55262115</v>
      </c>
      <c r="L10" s="60">
        <v>51581429</v>
      </c>
    </row>
    <row r="11" spans="1:12" s="3" customFormat="1" ht="13.5" customHeight="1">
      <c r="A11" s="499" t="s">
        <v>322</v>
      </c>
      <c r="B11" s="500"/>
      <c r="C11" s="500"/>
      <c r="D11" s="500"/>
      <c r="E11" s="500"/>
      <c r="F11" s="500"/>
      <c r="G11" s="500"/>
      <c r="H11" s="501"/>
      <c r="I11" s="4">
        <v>113</v>
      </c>
      <c r="J11" s="8" t="s">
        <v>2988</v>
      </c>
      <c r="K11" s="60">
        <v>12910558</v>
      </c>
      <c r="L11" s="60">
        <f>13149453+1043</f>
        <v>13150496</v>
      </c>
    </row>
    <row r="12" spans="1:12" s="3" customFormat="1" ht="13.5" customHeight="1">
      <c r="A12" s="499" t="s">
        <v>669</v>
      </c>
      <c r="B12" s="500"/>
      <c r="C12" s="500"/>
      <c r="D12" s="500"/>
      <c r="E12" s="500"/>
      <c r="F12" s="500"/>
      <c r="G12" s="500"/>
      <c r="H12" s="501"/>
      <c r="I12" s="4">
        <v>114</v>
      </c>
      <c r="J12" s="8"/>
      <c r="K12" s="59">
        <f>K13+K14+K18+K22+K23+K24+K27+K28</f>
        <v>70194876</v>
      </c>
      <c r="L12" s="59">
        <f>L13+L14+L18+L22+L23+L24+L27+L28</f>
        <v>66131757</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t="s">
        <v>2989</v>
      </c>
      <c r="K14" s="59">
        <f>SUM(K15:K17)</f>
        <v>29196356</v>
      </c>
      <c r="L14" s="59">
        <f>SUM(L15:L17)</f>
        <v>24497266</v>
      </c>
    </row>
    <row r="15" spans="1:12" s="3" customFormat="1" ht="13.5" customHeight="1">
      <c r="A15" s="477" t="s">
        <v>2463</v>
      </c>
      <c r="B15" s="478"/>
      <c r="C15" s="478"/>
      <c r="D15" s="478"/>
      <c r="E15" s="478"/>
      <c r="F15" s="478"/>
      <c r="G15" s="478"/>
      <c r="H15" s="479"/>
      <c r="I15" s="4">
        <v>117</v>
      </c>
      <c r="J15" s="8"/>
      <c r="K15" s="60">
        <v>18969002</v>
      </c>
      <c r="L15" s="60">
        <v>17891463</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10227354</v>
      </c>
      <c r="L17" s="60">
        <v>6605803</v>
      </c>
    </row>
    <row r="18" spans="1:12" s="3" customFormat="1" ht="13.5" customHeight="1">
      <c r="A18" s="499" t="s">
        <v>1269</v>
      </c>
      <c r="B18" s="500"/>
      <c r="C18" s="500"/>
      <c r="D18" s="500"/>
      <c r="E18" s="500"/>
      <c r="F18" s="500"/>
      <c r="G18" s="500"/>
      <c r="H18" s="501"/>
      <c r="I18" s="4">
        <v>120</v>
      </c>
      <c r="J18" s="8" t="s">
        <v>2990</v>
      </c>
      <c r="K18" s="59">
        <f>SUM(K19:K21)</f>
        <v>21647936</v>
      </c>
      <c r="L18" s="59">
        <f>SUM(L19:L21)</f>
        <v>21646976</v>
      </c>
    </row>
    <row r="19" spans="1:12" s="3" customFormat="1" ht="13.5" customHeight="1">
      <c r="A19" s="477" t="s">
        <v>2664</v>
      </c>
      <c r="B19" s="478"/>
      <c r="C19" s="478"/>
      <c r="D19" s="478"/>
      <c r="E19" s="478"/>
      <c r="F19" s="478"/>
      <c r="G19" s="478"/>
      <c r="H19" s="479"/>
      <c r="I19" s="4">
        <v>121</v>
      </c>
      <c r="J19" s="8"/>
      <c r="K19" s="60">
        <v>14047826</v>
      </c>
      <c r="L19" s="60">
        <v>14102988</v>
      </c>
    </row>
    <row r="20" spans="1:12" s="3" customFormat="1" ht="13.5" customHeight="1">
      <c r="A20" s="477" t="s">
        <v>2665</v>
      </c>
      <c r="B20" s="478"/>
      <c r="C20" s="478"/>
      <c r="D20" s="478"/>
      <c r="E20" s="478"/>
      <c r="F20" s="478"/>
      <c r="G20" s="478"/>
      <c r="H20" s="479"/>
      <c r="I20" s="4">
        <v>122</v>
      </c>
      <c r="J20" s="8"/>
      <c r="K20" s="60">
        <v>4658107</v>
      </c>
      <c r="L20" s="60">
        <f>4672341+25526</f>
        <v>4697867</v>
      </c>
    </row>
    <row r="21" spans="1:12" s="3" customFormat="1" ht="13.5" customHeight="1">
      <c r="A21" s="477" t="s">
        <v>2666</v>
      </c>
      <c r="B21" s="478"/>
      <c r="C21" s="478"/>
      <c r="D21" s="478"/>
      <c r="E21" s="478"/>
      <c r="F21" s="478"/>
      <c r="G21" s="478"/>
      <c r="H21" s="479"/>
      <c r="I21" s="4">
        <v>123</v>
      </c>
      <c r="J21" s="8"/>
      <c r="K21" s="60">
        <v>2942003</v>
      </c>
      <c r="L21" s="60">
        <v>2846121</v>
      </c>
    </row>
    <row r="22" spans="1:12" s="3" customFormat="1" ht="13.5" customHeight="1">
      <c r="A22" s="499" t="s">
        <v>324</v>
      </c>
      <c r="B22" s="500"/>
      <c r="C22" s="500"/>
      <c r="D22" s="500"/>
      <c r="E22" s="500"/>
      <c r="F22" s="500"/>
      <c r="G22" s="500"/>
      <c r="H22" s="501"/>
      <c r="I22" s="4">
        <v>124</v>
      </c>
      <c r="J22" s="8" t="s">
        <v>2991</v>
      </c>
      <c r="K22" s="60">
        <v>10459799</v>
      </c>
      <c r="L22" s="60">
        <v>10704200</v>
      </c>
    </row>
    <row r="23" spans="1:12" s="3" customFormat="1" ht="13.5" customHeight="1">
      <c r="A23" s="499" t="s">
        <v>325</v>
      </c>
      <c r="B23" s="500"/>
      <c r="C23" s="500"/>
      <c r="D23" s="500"/>
      <c r="E23" s="500"/>
      <c r="F23" s="500"/>
      <c r="G23" s="500"/>
      <c r="H23" s="501"/>
      <c r="I23" s="4">
        <v>125</v>
      </c>
      <c r="J23" s="8" t="s">
        <v>2992</v>
      </c>
      <c r="K23" s="60">
        <v>4776023</v>
      </c>
      <c r="L23" s="60">
        <f>5004591-25526</f>
        <v>4979065</v>
      </c>
    </row>
    <row r="24" spans="1:12" s="3" customFormat="1" ht="13.5" customHeight="1">
      <c r="A24" s="499" t="s">
        <v>1270</v>
      </c>
      <c r="B24" s="500"/>
      <c r="C24" s="500"/>
      <c r="D24" s="500"/>
      <c r="E24" s="500"/>
      <c r="F24" s="500"/>
      <c r="G24" s="500"/>
      <c r="H24" s="501"/>
      <c r="I24" s="4">
        <v>126</v>
      </c>
      <c r="J24" s="8"/>
      <c r="K24" s="59">
        <f>SUM(K25:K26)</f>
        <v>1363403</v>
      </c>
      <c r="L24" s="59">
        <f>SUM(L25:L26)</f>
        <v>597928</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t="s">
        <v>2992</v>
      </c>
      <c r="K26" s="60">
        <v>1363403</v>
      </c>
      <c r="L26" s="60">
        <v>597928</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t="s">
        <v>2992</v>
      </c>
      <c r="K28" s="60">
        <v>2751359</v>
      </c>
      <c r="L28" s="60">
        <v>3706322</v>
      </c>
    </row>
    <row r="29" spans="1:12" s="3" customFormat="1" ht="13.5" customHeight="1">
      <c r="A29" s="499" t="s">
        <v>53</v>
      </c>
      <c r="B29" s="500"/>
      <c r="C29" s="500"/>
      <c r="D29" s="500"/>
      <c r="E29" s="500"/>
      <c r="F29" s="500"/>
      <c r="G29" s="500"/>
      <c r="H29" s="501"/>
      <c r="I29" s="4">
        <v>131</v>
      </c>
      <c r="J29" s="8" t="s">
        <v>2993</v>
      </c>
      <c r="K29" s="59">
        <f>SUM(K30:K34)</f>
        <v>2378630</v>
      </c>
      <c r="L29" s="59">
        <f>SUM(L30:L34)</f>
        <v>1590808</v>
      </c>
    </row>
    <row r="30" spans="1:12" s="3" customFormat="1" ht="27.75" customHeight="1">
      <c r="A30" s="499" t="s">
        <v>82</v>
      </c>
      <c r="B30" s="500"/>
      <c r="C30" s="500"/>
      <c r="D30" s="500"/>
      <c r="E30" s="500"/>
      <c r="F30" s="500"/>
      <c r="G30" s="500"/>
      <c r="H30" s="501"/>
      <c r="I30" s="4">
        <v>132</v>
      </c>
      <c r="J30" s="8"/>
      <c r="K30" s="60">
        <v>2378630</v>
      </c>
      <c r="L30" s="60">
        <f>1591851-1043</f>
        <v>1590808</v>
      </c>
    </row>
    <row r="31" spans="1:12" s="3" customFormat="1" ht="27.75" customHeight="1">
      <c r="A31" s="499" t="s">
        <v>215</v>
      </c>
      <c r="B31" s="500"/>
      <c r="C31" s="500"/>
      <c r="D31" s="500"/>
      <c r="E31" s="500"/>
      <c r="F31" s="500"/>
      <c r="G31" s="500"/>
      <c r="H31" s="501"/>
      <c r="I31" s="4">
        <v>133</v>
      </c>
      <c r="J31" s="8"/>
      <c r="K31" s="60"/>
      <c r="L31" s="60"/>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t="s">
        <v>2993</v>
      </c>
      <c r="K35" s="59">
        <f>SUM(K36:K39)</f>
        <v>248156</v>
      </c>
      <c r="L35" s="59">
        <f>SUM(L36:L39)</f>
        <v>103787</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248156</v>
      </c>
      <c r="L37" s="60">
        <v>103787</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70551303</v>
      </c>
      <c r="L44" s="59">
        <f>L9+L29+L40+L42</f>
        <v>66322733</v>
      </c>
    </row>
    <row r="45" spans="1:12" s="3" customFormat="1" ht="13.5" customHeight="1">
      <c r="A45" s="499" t="s">
        <v>56</v>
      </c>
      <c r="B45" s="500"/>
      <c r="C45" s="500"/>
      <c r="D45" s="500"/>
      <c r="E45" s="500"/>
      <c r="F45" s="500"/>
      <c r="G45" s="500"/>
      <c r="H45" s="501"/>
      <c r="I45" s="4">
        <v>147</v>
      </c>
      <c r="J45" s="8"/>
      <c r="K45" s="59">
        <f>K12+K35+K41+K43</f>
        <v>70443032</v>
      </c>
      <c r="L45" s="59">
        <f>L12+L35+L41+L43</f>
        <v>66235544</v>
      </c>
    </row>
    <row r="46" spans="1:12" s="3" customFormat="1" ht="13.5" customHeight="1">
      <c r="A46" s="499" t="s">
        <v>1825</v>
      </c>
      <c r="B46" s="500"/>
      <c r="C46" s="500"/>
      <c r="D46" s="500"/>
      <c r="E46" s="500"/>
      <c r="F46" s="500"/>
      <c r="G46" s="500"/>
      <c r="H46" s="501"/>
      <c r="I46" s="4">
        <v>148</v>
      </c>
      <c r="J46" s="8" t="s">
        <v>2994</v>
      </c>
      <c r="K46" s="59">
        <f>K44-K45</f>
        <v>108271</v>
      </c>
      <c r="L46" s="59">
        <f>L44-L45</f>
        <v>87189</v>
      </c>
    </row>
    <row r="47" spans="1:12" s="3" customFormat="1" ht="13.5" customHeight="1">
      <c r="A47" s="486" t="s">
        <v>58</v>
      </c>
      <c r="B47" s="487"/>
      <c r="C47" s="487"/>
      <c r="D47" s="487"/>
      <c r="E47" s="487"/>
      <c r="F47" s="487"/>
      <c r="G47" s="487"/>
      <c r="H47" s="488"/>
      <c r="I47" s="4">
        <v>149</v>
      </c>
      <c r="J47" s="8"/>
      <c r="K47" s="59">
        <f>IF(K44&gt;K45,K44-K45,0)</f>
        <v>108271</v>
      </c>
      <c r="L47" s="59">
        <f>IF(L44&gt;L45,L44-L45,0)</f>
        <v>87189</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t="s">
        <v>2994</v>
      </c>
      <c r="K49" s="60">
        <v>76078</v>
      </c>
      <c r="L49" s="60">
        <v>42074</v>
      </c>
    </row>
    <row r="50" spans="1:12" s="3" customFormat="1" ht="13.5" customHeight="1">
      <c r="A50" s="499" t="s">
        <v>1826</v>
      </c>
      <c r="B50" s="500"/>
      <c r="C50" s="500"/>
      <c r="D50" s="500"/>
      <c r="E50" s="500"/>
      <c r="F50" s="500"/>
      <c r="G50" s="500"/>
      <c r="H50" s="501"/>
      <c r="I50" s="4">
        <v>152</v>
      </c>
      <c r="J50" s="8" t="s">
        <v>2994</v>
      </c>
      <c r="K50" s="59">
        <f>K46-K49</f>
        <v>32193</v>
      </c>
      <c r="L50" s="59">
        <f>L46-L49</f>
        <v>45115</v>
      </c>
    </row>
    <row r="51" spans="1:12" s="3" customFormat="1" ht="13.5" customHeight="1">
      <c r="A51" s="486" t="s">
        <v>1021</v>
      </c>
      <c r="B51" s="487"/>
      <c r="C51" s="487"/>
      <c r="D51" s="487"/>
      <c r="E51" s="487"/>
      <c r="F51" s="487"/>
      <c r="G51" s="487"/>
      <c r="H51" s="488"/>
      <c r="I51" s="4">
        <v>153</v>
      </c>
      <c r="J51" s="8"/>
      <c r="K51" s="59">
        <f>IF(K50&gt;0,K50,0)</f>
        <v>32193</v>
      </c>
      <c r="L51" s="59">
        <f>IF(L50&gt;0,L50,0)</f>
        <v>45115</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t="s">
        <v>2994</v>
      </c>
      <c r="K58" s="58">
        <v>32193</v>
      </c>
      <c r="L58" s="58">
        <v>45115</v>
      </c>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t="s">
        <v>2994</v>
      </c>
      <c r="K69" s="71">
        <f>K58+K68</f>
        <v>32193</v>
      </c>
      <c r="L69" s="71">
        <f>L58+L68</f>
        <v>45115</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41" sqref="A41:I4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01.01.2013. do 31.12.2013.</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89406825003; VODOVOD D.O.O ZADAR</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36" activePane="bottomLeft" state="frozen"/>
      <selection pane="topLeft" activeCell="A1" sqref="A1"/>
      <selection pane="bottomLeft" activeCell="L20" sqref="L20"/>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89406825003; VODOVOD D.O.O ZADAR</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t="s">
        <v>2994</v>
      </c>
      <c r="K10" s="53">
        <v>108271</v>
      </c>
      <c r="L10" s="60">
        <v>87189</v>
      </c>
    </row>
    <row r="11" spans="1:12" s="3" customFormat="1" ht="13.5" customHeight="1">
      <c r="A11" s="477" t="s">
        <v>2478</v>
      </c>
      <c r="B11" s="478"/>
      <c r="C11" s="478"/>
      <c r="D11" s="478"/>
      <c r="E11" s="478"/>
      <c r="F11" s="478"/>
      <c r="G11" s="478"/>
      <c r="H11" s="478"/>
      <c r="I11" s="4">
        <v>2</v>
      </c>
      <c r="J11" s="139" t="s">
        <v>2991</v>
      </c>
      <c r="K11" s="53">
        <v>10459799</v>
      </c>
      <c r="L11" s="60">
        <v>10704200</v>
      </c>
    </row>
    <row r="12" spans="1:12" s="3" customFormat="1" ht="13.5" customHeight="1">
      <c r="A12" s="477" t="s">
        <v>2479</v>
      </c>
      <c r="B12" s="478"/>
      <c r="C12" s="478"/>
      <c r="D12" s="478"/>
      <c r="E12" s="478"/>
      <c r="F12" s="478"/>
      <c r="G12" s="478"/>
      <c r="H12" s="478"/>
      <c r="I12" s="4">
        <v>3</v>
      </c>
      <c r="J12" s="139" t="s">
        <v>3000</v>
      </c>
      <c r="K12" s="53">
        <v>2572498</v>
      </c>
      <c r="L12" s="60"/>
    </row>
    <row r="13" spans="1:12" s="3" customFormat="1" ht="13.5" customHeight="1">
      <c r="A13" s="477" t="s">
        <v>2480</v>
      </c>
      <c r="B13" s="478"/>
      <c r="C13" s="478"/>
      <c r="D13" s="478"/>
      <c r="E13" s="478"/>
      <c r="F13" s="478"/>
      <c r="G13" s="478"/>
      <c r="H13" s="478"/>
      <c r="I13" s="4">
        <v>4</v>
      </c>
      <c r="J13" s="139" t="s">
        <v>2995</v>
      </c>
      <c r="K13" s="53">
        <v>4637217</v>
      </c>
      <c r="L13" s="60">
        <v>4596438</v>
      </c>
    </row>
    <row r="14" spans="1:12" s="3" customFormat="1" ht="13.5" customHeight="1">
      <c r="A14" s="477" t="s">
        <v>2481</v>
      </c>
      <c r="B14" s="478"/>
      <c r="C14" s="478"/>
      <c r="D14" s="478"/>
      <c r="E14" s="478"/>
      <c r="F14" s="478"/>
      <c r="G14" s="478"/>
      <c r="H14" s="478"/>
      <c r="I14" s="4">
        <v>5</v>
      </c>
      <c r="J14" s="139" t="s">
        <v>2996</v>
      </c>
      <c r="K14" s="53">
        <v>4694267</v>
      </c>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22472052</v>
      </c>
      <c r="L16" s="59">
        <f>SUM(L10:L15)</f>
        <v>15387827</v>
      </c>
    </row>
    <row r="17" spans="1:12" s="3" customFormat="1" ht="13.5" customHeight="1">
      <c r="A17" s="477" t="s">
        <v>2533</v>
      </c>
      <c r="B17" s="478"/>
      <c r="C17" s="478"/>
      <c r="D17" s="478"/>
      <c r="E17" s="478"/>
      <c r="F17" s="478"/>
      <c r="G17" s="478"/>
      <c r="H17" s="478"/>
      <c r="I17" s="4">
        <v>8</v>
      </c>
      <c r="J17" s="139" t="s">
        <v>3000</v>
      </c>
      <c r="K17" s="53"/>
      <c r="L17" s="60">
        <v>17339786</v>
      </c>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t="s">
        <v>2996</v>
      </c>
      <c r="K19" s="53"/>
      <c r="L19" s="60">
        <v>151898</v>
      </c>
    </row>
    <row r="20" spans="1:12" s="3" customFormat="1" ht="13.5" customHeight="1">
      <c r="A20" s="477" t="s">
        <v>2536</v>
      </c>
      <c r="B20" s="478"/>
      <c r="C20" s="478"/>
      <c r="D20" s="478"/>
      <c r="E20" s="478"/>
      <c r="F20" s="478"/>
      <c r="G20" s="478"/>
      <c r="H20" s="478"/>
      <c r="I20" s="4">
        <v>11</v>
      </c>
      <c r="J20" s="139"/>
      <c r="K20" s="53">
        <v>13512271</v>
      </c>
      <c r="L20" s="60">
        <f>2309549+43053-977</f>
        <v>2351625</v>
      </c>
    </row>
    <row r="21" spans="1:12" s="3" customFormat="1" ht="13.5" customHeight="1">
      <c r="A21" s="499" t="s">
        <v>219</v>
      </c>
      <c r="B21" s="500"/>
      <c r="C21" s="500"/>
      <c r="D21" s="500"/>
      <c r="E21" s="500"/>
      <c r="F21" s="500"/>
      <c r="G21" s="500"/>
      <c r="H21" s="500"/>
      <c r="I21" s="4">
        <v>12</v>
      </c>
      <c r="J21" s="139"/>
      <c r="K21" s="54">
        <f>SUM(K17:K20)</f>
        <v>13512271</v>
      </c>
      <c r="L21" s="59">
        <f>SUM(L17:L20)</f>
        <v>19843309</v>
      </c>
    </row>
    <row r="22" spans="1:12" s="3" customFormat="1" ht="24.75" customHeight="1">
      <c r="A22" s="499" t="s">
        <v>2473</v>
      </c>
      <c r="B22" s="500"/>
      <c r="C22" s="500"/>
      <c r="D22" s="500"/>
      <c r="E22" s="500"/>
      <c r="F22" s="500"/>
      <c r="G22" s="500"/>
      <c r="H22" s="500"/>
      <c r="I22" s="4">
        <v>13</v>
      </c>
      <c r="J22" s="139"/>
      <c r="K22" s="54">
        <f>IF(K16&gt;K21,K16-K21,0)</f>
        <v>8959781</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4455482</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t="s">
        <v>3001</v>
      </c>
      <c r="K29" s="53">
        <v>26290974</v>
      </c>
      <c r="L29" s="60">
        <v>29733847</v>
      </c>
    </row>
    <row r="30" spans="1:12" s="3" customFormat="1" ht="13.5" customHeight="1">
      <c r="A30" s="499" t="s">
        <v>377</v>
      </c>
      <c r="B30" s="500"/>
      <c r="C30" s="500"/>
      <c r="D30" s="500"/>
      <c r="E30" s="500"/>
      <c r="F30" s="500"/>
      <c r="G30" s="500"/>
      <c r="H30" s="500"/>
      <c r="I30" s="4">
        <v>20</v>
      </c>
      <c r="J30" s="139"/>
      <c r="K30" s="54">
        <f>SUM(K25:K29)</f>
        <v>26290974</v>
      </c>
      <c r="L30" s="59">
        <f>SUM(L25:L29)</f>
        <v>29733847</v>
      </c>
    </row>
    <row r="31" spans="1:12" s="3" customFormat="1" ht="13.5" customHeight="1">
      <c r="A31" s="477" t="s">
        <v>2619</v>
      </c>
      <c r="B31" s="478"/>
      <c r="C31" s="478"/>
      <c r="D31" s="478"/>
      <c r="E31" s="478"/>
      <c r="F31" s="478"/>
      <c r="G31" s="478"/>
      <c r="H31" s="478"/>
      <c r="I31" s="4">
        <v>21</v>
      </c>
      <c r="J31" s="139" t="s">
        <v>2991</v>
      </c>
      <c r="K31" s="53">
        <v>38216671</v>
      </c>
      <c r="L31" s="60">
        <v>26928418</v>
      </c>
    </row>
    <row r="32" spans="1:12" s="3" customFormat="1" ht="13.5" customHeight="1">
      <c r="A32" s="477" t="s">
        <v>2620</v>
      </c>
      <c r="B32" s="478"/>
      <c r="C32" s="478"/>
      <c r="D32" s="478"/>
      <c r="E32" s="478"/>
      <c r="F32" s="478"/>
      <c r="G32" s="478"/>
      <c r="H32" s="478"/>
      <c r="I32" s="4">
        <v>22</v>
      </c>
      <c r="J32" s="139"/>
      <c r="K32" s="53">
        <v>721000</v>
      </c>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38937671</v>
      </c>
      <c r="L34" s="59">
        <f>SUM(L31:L33)</f>
        <v>26928418</v>
      </c>
    </row>
    <row r="35" spans="1:12" s="3" customFormat="1" ht="24.75" customHeight="1">
      <c r="A35" s="499" t="s">
        <v>2475</v>
      </c>
      <c r="B35" s="500"/>
      <c r="C35" s="500"/>
      <c r="D35" s="500"/>
      <c r="E35" s="500"/>
      <c r="F35" s="500"/>
      <c r="G35" s="500"/>
      <c r="H35" s="500"/>
      <c r="I35" s="4">
        <v>25</v>
      </c>
      <c r="J35" s="139"/>
      <c r="K35" s="54">
        <f>IF(K30&gt;K34,K30-K34,0)</f>
        <v>0</v>
      </c>
      <c r="L35" s="59">
        <f>IF(L30&gt;L34,L30-L34,0)</f>
        <v>2805429</v>
      </c>
    </row>
    <row r="36" spans="1:12" s="3" customFormat="1" ht="24.75" customHeight="1">
      <c r="A36" s="499" t="s">
        <v>2476</v>
      </c>
      <c r="B36" s="500"/>
      <c r="C36" s="500"/>
      <c r="D36" s="500"/>
      <c r="E36" s="500"/>
      <c r="F36" s="500"/>
      <c r="G36" s="500"/>
      <c r="H36" s="500"/>
      <c r="I36" s="4">
        <v>26</v>
      </c>
      <c r="J36" s="139"/>
      <c r="K36" s="54">
        <f>IF(K34&gt;K30,K34-K30,0)</f>
        <v>12646697</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v>4192310</v>
      </c>
      <c r="L40" s="60"/>
    </row>
    <row r="41" spans="1:12" s="3" customFormat="1" ht="13.5" customHeight="1">
      <c r="A41" s="499" t="s">
        <v>2215</v>
      </c>
      <c r="B41" s="500"/>
      <c r="C41" s="500"/>
      <c r="D41" s="500"/>
      <c r="E41" s="500"/>
      <c r="F41" s="500"/>
      <c r="G41" s="500"/>
      <c r="H41" s="500"/>
      <c r="I41" s="4">
        <v>30</v>
      </c>
      <c r="J41" s="139"/>
      <c r="K41" s="54">
        <f>SUM(K38:K40)</f>
        <v>4192310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t="s">
        <v>2999</v>
      </c>
      <c r="K44" s="53">
        <v>235847</v>
      </c>
      <c r="L44" s="60">
        <v>307581</v>
      </c>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235847</v>
      </c>
      <c r="L47" s="59">
        <f>SUM(L42:L46)</f>
        <v>307581</v>
      </c>
    </row>
    <row r="48" spans="1:12" s="3" customFormat="1" ht="24.75" customHeight="1">
      <c r="A48" s="499" t="s">
        <v>1226</v>
      </c>
      <c r="B48" s="500"/>
      <c r="C48" s="500"/>
      <c r="D48" s="500"/>
      <c r="E48" s="500"/>
      <c r="F48" s="500"/>
      <c r="G48" s="500"/>
      <c r="H48" s="500"/>
      <c r="I48" s="4">
        <v>37</v>
      </c>
      <c r="J48" s="139"/>
      <c r="K48" s="54">
        <f>IF(K41&gt;K47,K41-K47,0)</f>
        <v>3956463</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307581</v>
      </c>
    </row>
    <row r="50" spans="1:12" s="3" customFormat="1" ht="13.5" customHeight="1">
      <c r="A50" s="477" t="s">
        <v>2217</v>
      </c>
      <c r="B50" s="478"/>
      <c r="C50" s="478"/>
      <c r="D50" s="478"/>
      <c r="E50" s="478"/>
      <c r="F50" s="478"/>
      <c r="G50" s="478"/>
      <c r="H50" s="478"/>
      <c r="I50" s="4">
        <v>39</v>
      </c>
      <c r="J50" s="139"/>
      <c r="K50" s="54">
        <f>IF(K22-K23+K35-K36+K48-K49&gt;0,K22-K23+K35-K36+K48-K49,0)</f>
        <v>269547</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1957634</v>
      </c>
    </row>
    <row r="52" spans="1:12" s="3" customFormat="1" ht="13.5" customHeight="1">
      <c r="A52" s="477" t="s">
        <v>222</v>
      </c>
      <c r="B52" s="478"/>
      <c r="C52" s="478"/>
      <c r="D52" s="478"/>
      <c r="E52" s="478"/>
      <c r="F52" s="478"/>
      <c r="G52" s="478"/>
      <c r="H52" s="478"/>
      <c r="I52" s="4">
        <v>41</v>
      </c>
      <c r="J52" s="139" t="s">
        <v>2997</v>
      </c>
      <c r="K52" s="53">
        <v>3393112</v>
      </c>
      <c r="L52" s="60">
        <v>3662659</v>
      </c>
    </row>
    <row r="53" spans="1:12" s="3" customFormat="1" ht="13.5" customHeight="1">
      <c r="A53" s="477" t="s">
        <v>943</v>
      </c>
      <c r="B53" s="478"/>
      <c r="C53" s="478"/>
      <c r="D53" s="478"/>
      <c r="E53" s="478"/>
      <c r="F53" s="478"/>
      <c r="G53" s="478"/>
      <c r="H53" s="478"/>
      <c r="I53" s="4">
        <v>42</v>
      </c>
      <c r="J53" s="139"/>
      <c r="K53" s="53">
        <v>269547</v>
      </c>
      <c r="L53" s="60"/>
    </row>
    <row r="54" spans="1:12" s="3" customFormat="1" ht="13.5" customHeight="1">
      <c r="A54" s="477" t="s">
        <v>944</v>
      </c>
      <c r="B54" s="478"/>
      <c r="C54" s="478"/>
      <c r="D54" s="478"/>
      <c r="E54" s="478"/>
      <c r="F54" s="478"/>
      <c r="G54" s="478"/>
      <c r="H54" s="478"/>
      <c r="I54" s="4">
        <v>43</v>
      </c>
      <c r="J54" s="139" t="s">
        <v>2997</v>
      </c>
      <c r="K54" s="53"/>
      <c r="L54" s="60">
        <v>1957634</v>
      </c>
    </row>
    <row r="55" spans="1:12" s="3" customFormat="1" ht="13.5" customHeight="1">
      <c r="A55" s="588" t="s">
        <v>945</v>
      </c>
      <c r="B55" s="589"/>
      <c r="C55" s="589"/>
      <c r="D55" s="589"/>
      <c r="E55" s="589"/>
      <c r="F55" s="589"/>
      <c r="G55" s="589"/>
      <c r="H55" s="589"/>
      <c r="I55" s="15">
        <v>44</v>
      </c>
      <c r="J55" s="140"/>
      <c r="K55" s="55">
        <f>K52+K53-K54</f>
        <v>3662659</v>
      </c>
      <c r="L55" s="71">
        <f>L52+L53-L54</f>
        <v>1705025</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89406825003; VODOVOD D.O.O ZADAR</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 Kolanovic</cp:lastModifiedBy>
  <cp:lastPrinted>2014-05-26T13:25:23Z</cp:lastPrinted>
  <dcterms:created xsi:type="dcterms:W3CDTF">2008-10-17T11:51:54Z</dcterms:created>
  <dcterms:modified xsi:type="dcterms:W3CDTF">2015-04-23T13:15:16Z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