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75" firstSheet="1" activeTab="6"/>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<sst xmlns="http://schemas.openxmlformats.org/spreadsheetml/2006/main" count="3873" uniqueCount="3021">
  <si>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</si>
  <si>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</si>
  <si>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</si>
  <si>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</si>
  <si>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</si>
  <si>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</si>
  <si>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</si>
  <si>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</si>
  <si>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</si>
  <si>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</si>
  <si>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</si>
  <si>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</si>
  <si>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</si>
  <si>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</si>
  <si>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</si>
  <si>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</si>
  <si>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</si>
  <si>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</si>
  <si>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</si>
  <si>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</si>
  <si>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</si>
  <si>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</si>
  <si>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</si>
  <si>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</si>
  <si>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</si>
  <si>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</si>
  <si>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</si>
  <si>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</si>
  <si>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</si>
  <si>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</si>
  <si>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</si>
  <si>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</si>
  <si>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</si>
  <si>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</si>
  <si>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</si>
  <si>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</si>
  <si>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</si>
  <si>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</si>
  <si>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</si>
  <si>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</si>
  <si>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</si>
  <si>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</si>
  <si>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</si>
  <si>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</si>
  <si>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</si>
  <si>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</si>
  <si>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</si>
  <si>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</si>
  <si>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</si>
  <si>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</si>
  <si>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</si>
  <si>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</si>
  <si>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</si>
  <si>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</si>
  <si>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</si>
  <si>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</si>
  <si>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</si>
  <si>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</si>
  <si>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</si>
  <si>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</si>
  <si>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</si>
  <si>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</si>
  <si>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</si>
  <si>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</si>
  <si>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</si>
  <si>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</si>
  <si>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</si>
  <si>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</si>
  <si>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</si>
  <si>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</si>
  <si>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</si>
  <si>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</si>
  <si>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</si>
  <si>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</si>
  <si>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</si>
  <si>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</si>
  <si>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</si>
  <si>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</si>
  <si>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</si>
  <si>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</si>
  <si>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</si>
  <si>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</si>
  <si>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</si>
  <si>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</si>
  <si>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</si>
  <si>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</si>
  <si>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</si>
  <si>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</si>
  <si>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</si>
  <si>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</si>
  <si>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</si>
  <si>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</si>
  <si>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</si>
  <si>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</si>
  <si>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</si>
  <si>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</si>
  <si>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</si>
  <si>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</si>
  <si>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</si>
  <si>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</si>
  <si>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</si>
  <si>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</si>
  <si>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</si>
  <si>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</si>
  <si>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</si>
  <si>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</si>
  <si>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</si>
  <si>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</si>
  <si>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</si>
  <si>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</si>
  <si>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</si>
  <si>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</si>
  <si>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</si>
  <si>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</si>
  <si>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</si>
  <si>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</si>
  <si>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</si>
  <si>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</si>
  <si>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</si>
  <si>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</si>
  <si>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</si>
  <si>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</si>
  <si>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</si>
  <si>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</si>
  <si>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</si>
  <si>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</si>
  <si>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</si>
  <si>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</si>
  <si>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</si>
  <si>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</si>
  <si>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</si>
  <si>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</si>
  <si>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</si>
  <si>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</si>
  <si>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</si>
  <si>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</si>
  <si>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</si>
  <si>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</si>
  <si>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</si>
  <si>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</si>
  <si>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</si>
  <si>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</si>
  <si>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</si>
  <si>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</si>
  <si>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</si>
  <si>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</si>
  <si>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</si>
  <si>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</si>
  <si>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</si>
  <si>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</si>
  <si>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</si>
  <si>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</si>
  <si>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</si>
  <si>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</si>
  <si>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</si>
  <si>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</si>
  <si>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</si>
  <si>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</si>
  <si>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</si>
  <si>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</si>
  <si>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</si>
  <si>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</si>
  <si>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</si>
  <si>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</si>
  <si>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</si>
  <si>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</si>
  <si>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</si>
  <si>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</si>
  <si>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</si>
  <si>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</si>
  <si>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</si>
  <si>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</si>
  <si>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</si>
  <si>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</si>
  <si>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</si>
  <si>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</si>
  <si>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</si>
  <si>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</si>
  <si>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</si>
  <si>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</si>
  <si>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</si>
  <si>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</si>
  <si>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</si>
  <si>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</si>
  <si>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</si>
  <si>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</si>
  <si>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</si>
  <si>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</si>
  <si>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</si>
  <si>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</si>
  <si>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</si>
  <si>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</si>
  <si>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</si>
  <si>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</si>
  <si>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</si>
  <si>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</si>
  <si>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</si>
  <si>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</si>
  <si>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</si>
  <si>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</si>
  <si>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</si>
  <si>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</si>
  <si>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</si>
  <si>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</si>
  <si>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</si>
  <si>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</si>
  <si>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</si>
  <si>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</si>
  <si>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</si>
  <si>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</si>
  <si>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</si>
  <si>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</si>
  <si>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</si>
  <si>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</si>
  <si>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</si>
  <si>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</si>
  <si>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</si>
  <si>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</si>
  <si>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</si>
  <si>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</si>
  <si>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</si>
  <si>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</si>
  <si>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</si>
  <si>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</si>
  <si>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</si>
  <si>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</si>
  <si>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</si>
  <si>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</si>
  <si>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</si>
  <si>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</si>
  <si>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</si>
  <si>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</si>
  <si>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</si>
  <si>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</si>
  <si>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</si>
  <si>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</si>
  <si>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</si>
  <si>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</si>
  <si>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</si>
  <si>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</si>
  <si>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</si>
  <si>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</si>
  <si>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</si>
  <si>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</si>
  <si>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</si>
  <si>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</si>
  <si>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</si>
  <si>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</si>
  <si>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</si>
  <si>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</si>
  <si>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</si>
  <si>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</si>
  <si>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</si>
  <si>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</si>
  <si>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</si>
  <si>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</si>
  <si>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</si>
  <si>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</si>
  <si>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</si>
  <si>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</si>
  <si>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</si>
  <si>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</si>
  <si>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</si>
  <si>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</si>
  <si>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</si>
  <si>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</si>
  <si>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</si>
  <si>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</si>
  <si>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</si>
  <si>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</si>
  <si>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</si>
  <si>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</si>
  <si>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</si>
  <si>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</si>
  <si>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</si>
  <si>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</si>
  <si>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</si>
  <si>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</si>
  <si>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</si>
  <si>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</si>
  <si>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</si>
  <si>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</si>
  <si>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</si>
  <si>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</si>
  <si>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</si>
  <si>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</si>
  <si>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</si>
  <si>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</si>
  <si>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</si>
  <si>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</si>
  <si>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</si>
  <si>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</si>
  <si>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</si>
  <si>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</si>
  <si>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</si>
  <si>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</si>
  <si>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</si>
  <si>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</si>
  <si>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</si>
  <si>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</si>
  <si>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</si>
  <si>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</si>
  <si>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</si>
  <si>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</si>
  <si>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</si>
  <si>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</si>
  <si>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</si>
  <si>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</si>
  <si>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</si>
  <si>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</si>
  <si>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</si>
  <si>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</si>
  <si>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</si>
  <si>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</si>
  <si>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</si>
  <si>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</si>
  <si>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</si>
  <si>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</si>
  <si>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</si>
  <si>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</si>
  <si>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</si>
  <si>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</si>
  <si>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</si>
  <si>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</si>
  <si>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</si>
  <si>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</si>
  <si>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</si>
  <si>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</si>
  <si>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</si>
  <si>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</si>
  <si>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</si>
  <si>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</si>
  <si>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</si>
  <si>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</si>
  <si>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</si>
  <si>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</si>
  <si>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</si>
  <si>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</si>
  <si>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</si>
  <si>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</si>
  <si>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</si>
  <si>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</si>
  <si>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</si>
  <si>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</si>
  <si>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</si>
  <si>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</si>
  <si>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</si>
  <si>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</si>
  <si>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</si>
  <si>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</si>
  <si>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</si>
  <si>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</si>
  <si>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</si>
  <si>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</si>
  <si>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</si>
  <si>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</si>
  <si>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</si>
  <si>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</si>
  <si>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</si>
  <si>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</si>
  <si>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</si>
  <si>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</si>
  <si>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</si>
  <si>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</si>
  <si>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</si>
  <si>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</si>
  <si>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</si>
  <si>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</si>
  <si>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</si>
  <si>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</si>
  <si>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</si>
  <si>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</si>
  <si>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</si>
  <si>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</si>
  <si>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</si>
  <si>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</si>
  <si>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</si>
  <si>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</si>
  <si>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</si>
  <si>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</si>
  <si>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</si>
  <si>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</si>
  <si>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</si>
  <si>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</si>
  <si>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</si>
  <si>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</si>
  <si>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</si>
  <si>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</si>
  <si>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</si>
  <si>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</si>
  <si>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</si>
  <si>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</si>
  <si>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</si>
  <si>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</si>
  <si>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</si>
  <si>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</si>
  <si>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</si>
  <si>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</si>
  <si>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</si>
  <si>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</si>
  <si>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</si>
  <si>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</si>
  <si>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</si>
  <si>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</si>
  <si>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</si>
  <si>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</si>
  <si>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</si>
  <si>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</si>
  <si>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</si>
  <si>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</si>
  <si>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</si>
  <si>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</si>
  <si>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</si>
  <si>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</si>
  <si>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</si>
  <si>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</si>
  <si>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</si>
  <si>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</si>
  <si>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</si>
  <si>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</si>
  <si>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</si>
  <si>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</si>
  <si>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</si>
  <si>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</si>
  <si>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</si>
  <si>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</si>
  <si>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</si>
  <si>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</si>
  <si>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</si>
  <si>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</si>
  <si>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</si>
  <si>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</si>
  <si>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</si>
  <si>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</si>
  <si>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</si>
  <si>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</si>
  <si>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</si>
  <si>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</si>
  <si>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</si>
  <si>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</si>
  <si>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</si>
  <si>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</si>
  <si>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</si>
  <si>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</si>
  <si>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</si>
  <si>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</si>
  <si>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</si>
  <si>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</si>
  <si>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</si>
  <si>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</si>
  <si>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</si>
  <si>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</si>
  <si>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</si>
  <si>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</si>
  <si>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</si>
  <si>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</si>
  <si>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</si>
  <si>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</si>
  <si>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</si>
  <si>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</si>
  <si>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</si>
  <si>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</si>
  <si>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</si>
  <si>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</si>
  <si>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</si>
  <si>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</si>
  <si>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</si>
  <si>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</si>
  <si>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</si>
  <si>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</si>
  <si>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</si>
  <si>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</si>
  <si>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</si>
  <si>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</si>
  <si>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</si>
  <si>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</si>
  <si>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</si>
  <si>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</si>
  <si>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</si>
  <si>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</si>
  <si>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</si>
  <si>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</si>
  <si>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</si>
  <si>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</si>
  <si>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</si>
  <si>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</si>
  <si>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</si>
  <si>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</si>
  <si>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</si>
  <si>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</si>
  <si>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</si>
  <si>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</si>
  <si>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</si>
  <si>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</si>
  <si>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</si>
  <si>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</si>
  <si>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</si>
  <si>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</si>
  <si>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</si>
  <si>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</si>
  <si>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</si>
  <si>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</si>
  <si>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</si>
  <si>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</si>
  <si>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</si>
  <si>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</si>
  <si>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</si>
  <si>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</si>
  <si>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</si>
  <si>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</si>
  <si>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</si>
  <si>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</si>
  <si>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</si>
  <si>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</si>
  <si>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</si>
  <si>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</si>
  <si>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</si>
  <si>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</si>
  <si>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</si>
  <si>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</si>
  <si>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</si>
  <si>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</si>
  <si>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</si>
  <si>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</si>
  <si>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</si>
  <si>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</si>
  <si>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</si>
  <si>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</si>
  <si>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</si>
  <si>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</si>
  <si>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</si>
  <si>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</si>
  <si>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</si>
  <si>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</si>
  <si>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</si>
  <si>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</si>
  <si>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</si>
  <si>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</si>
  <si>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</si>
  <si>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</si>
  <si>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</si>
  <si>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</si>
  <si>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</si>
  <si>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</si>
  <si>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</si>
  <si>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</si>
  <si>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</si>
  <si>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</si>
  <si>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</si>
  <si>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</si>
  <si>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</si>
  <si>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</si>
  <si>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</si>
  <si>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</si>
  <si>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</si>
  <si>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</si>
  <si>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</si>
  <si>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</si>
  <si>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</si>
  <si>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</si>
  <si>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</si>
  <si>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</si>
  <si>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</si>
  <si>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</si>
  <si>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</si>
  <si>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</si>
  <si>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</si>
  <si>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</si>
  <si>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</si>
  <si>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</si>
  <si>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</si>
  <si>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</si>
  <si>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</si>
  <si>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</si>
  <si>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</si>
  <si>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</si>
  <si>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</si>
  <si>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</si>
  <si>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</si>
  <si>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</si>
  <si>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</si>
  <si>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</si>
  <si>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</si>
  <si>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</si>
  <si>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</si>
  <si>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</si>
  <si>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</si>
  <si>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</si>
  <si>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</si>
  <si>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</si>
  <si>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</si>
  <si>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</si>
  <si>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</si>
  <si>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</si>
  <si>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</si>
  <si>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</si>
  <si>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</si>
  <si>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</si>
  <si>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</si>
  <si>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</si>
  <si>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</si>
  <si>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</si>
  <si>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</si>
  <si>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</si>
  <si>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</si>
  <si>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</si>
  <si>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</si>
  <si>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</si>
  <si>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</si>
  <si>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</si>
  <si>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</si>
  <si>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</si>
  <si>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</si>
  <si>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</si>
  <si>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</si>
  <si>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</si>
  <si>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</si>
  <si>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</si>
  <si>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</si>
  <si>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</si>
  <si>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</si>
  <si>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</si>
  <si>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</si>
  <si>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</si>
  <si>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</si>
  <si>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</si>
  <si>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</si>
  <si>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</si>
  <si>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</si>
  <si>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</si>
  <si>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</si>
  <si>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</si>
  <si>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</si>
  <si>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</si>
  <si>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</si>
  <si>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</si>
  <si>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</si>
  <si>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</si>
  <si>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</si>
  <si>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</si>
  <si>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</si>
  <si>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</si>
  <si>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</si>
  <si>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</si>
  <si>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</si>
  <si>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</si>
  <si>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</si>
  <si>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</si>
  <si>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</si>
  <si>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</si>
  <si>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</si>
  <si>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</si>
  <si>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</si>
  <si>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</si>
  <si>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</si>
  <si>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</si>
  <si>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</si>
  <si>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</si>
  <si>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</si>
  <si>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</si>
  <si>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</si>
  <si>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</si>
  <si>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</si>
  <si>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</si>
  <si>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</si>
  <si>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</si>
  <si>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</si>
  <si>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</si>
  <si>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</si>
  <si>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</si>
  <si>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</si>
  <si>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</si>
  <si>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</si>
  <si>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</si>
  <si>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</si>
  <si>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</si>
  <si>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</si>
  <si>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</si>
  <si>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</si>
  <si>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</si>
  <si>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</si>
  <si>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</si>
  <si>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</si>
  <si>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</si>
  <si>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</si>
  <si>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</si>
  <si>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</si>
  <si>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</si>
  <si>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</si>
  <si>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</si>
  <si>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</si>
  <si>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</si>
  <si>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</si>
  <si>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</si>
  <si>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</si>
  <si>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</si>
  <si>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</si>
  <si>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</si>
  <si>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</si>
  <si>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</si>
  <si>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</si>
  <si>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</si>
  <si>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</si>
  <si>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</si>
  <si>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</si>
  <si>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</si>
  <si>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</si>
  <si>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</si>
  <si>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</si>
  <si>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</si>
  <si>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</si>
  <si>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</si>
  <si>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</si>
  <si>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</si>
  <si>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</si>
  <si>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</si>
  <si>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</si>
  <si>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</si>
  <si>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</si>
  <si>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</si>
  <si>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</si>
  <si>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</si>
  <si>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</si>
  <si>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</si>
  <si>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</si>
  <si>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</si>
  <si>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</si>
  <si>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</si>
  <si>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</si>
  <si>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</si>
  <si>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</si>
  <si>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</si>
  <si>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</si>
  <si>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</si>
  <si>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</si>
  <si>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</si>
  <si>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</si>
  <si>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</si>
  <si>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</si>
  <si>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</si>
  <si>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</si>
  <si>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</si>
  <si>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</si>
  <si>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</si>
  <si>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</si>
  <si>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</si>
  <si>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</si>
  <si>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</si>
  <si>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</si>
  <si>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</si>
  <si>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</si>
  <si>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</si>
  <si>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</si>
  <si>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</si>
  <si>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</si>
  <si>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</si>
  <si>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</si>
  <si>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</si>
  <si>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</si>
  <si>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</si>
  <si>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</si>
  <si>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</si>
  <si>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</si>
  <si>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</si>
  <si>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</si>
  <si>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</si>
  <si>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</si>
  <si>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</si>
  <si>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</si>
  <si>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</si>
  <si>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</si>
  <si>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</si>
  <si>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</si>
  <si>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</si>
  <si>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</si>
  <si>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</si>
  <si>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</si>
  <si>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</si>
  <si>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</si>
  <si>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</si>
  <si>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</si>
  <si>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</si>
  <si>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</si>
  <si>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</si>
  <si>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</si>
  <si>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</si>
  <si>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</si>
  <si>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</si>
  <si>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</si>
  <si>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</si>
  <si>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</si>
  <si>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</si>
  <si>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</si>
  <si>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</si>
  <si>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</si>
  <si>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</si>
  <si>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</si>
  <si>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</si>
  <si>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</si>
  <si>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</si>
  <si>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</si>
  <si>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</si>
  <si>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</si>
  <si>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</si>
  <si>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</si>
  <si>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</si>
  <si>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</si>
  <si>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</si>
  <si>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</si>
  <si>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</si>
  <si>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</si>
  <si>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</si>
  <si>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</si>
  <si>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</si>
  <si>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</si>
  <si>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</si>
  <si>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</si>
  <si>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</si>
  <si>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</si>
  <si>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</si>
  <si>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</si>
  <si>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</si>
  <si>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</si>
  <si>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</si>
  <si>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</si>
  <si>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</si>
  <si>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</si>
  <si>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</si>
  <si>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</si>
  <si>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</si>
  <si>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</si>
  <si>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</si>
  <si>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</si>
  <si>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</si>
  <si>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</si>
  <si>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</si>
  <si>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</si>
  <si>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</si>
  <si>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</si>
  <si>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</si>
  <si>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</si>
  <si>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</si>
  <si>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</si>
  <si>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</si>
  <si>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</si>
  <si>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</si>
  <si>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</si>
  <si>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</si>
  <si>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</si>
  <si>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</si>
  <si>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</si>
  <si>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</si>
  <si>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</si>
  <si>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</si>
  <si>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</si>
  <si>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</si>
  <si>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</si>
  <si>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</si>
  <si>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</si>
  <si>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</si>
  <si>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</si>
  <si>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</si>
  <si>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</si>
  <si>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</si>
  <si>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</si>
  <si>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</si>
  <si>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</si>
  <si>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</si>
  <si>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</si>
  <si>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</si>
  <si>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</si>
  <si>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</si>
  <si>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</si>
  <si>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</si>
  <si>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</si>
  <si>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</si>
  <si>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</si>
  <si>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</si>
  <si>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</si>
  <si>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</si>
  <si>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</si>
  <si>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</si>
  <si>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</si>
  <si>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</si>
  <si>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</si>
  <si>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</si>
  <si>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</si>
  <si>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</si>
  <si>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</si>
  <si>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</si>
  <si>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</si>
  <si>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</si>
  <si>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</si>
  <si>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</si>
  <si>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</si>
  <si>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</si>
  <si>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</si>
  <si>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</si>
  <si>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</si>
  <si>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</si>
  <si>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</si>
  <si>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</si>
  <si>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</si>
  <si>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</si>
  <si>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</si>
  <si>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</si>
  <si>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</si>
  <si>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</si>
  <si>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</si>
  <si>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</si>
  <si>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</si>
  <si>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</si>
  <si>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</si>
  <si>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</si>
  <si>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</si>
  <si>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</si>
  <si>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</si>
  <si>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</si>
  <si>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</si>
  <si>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</si>
  <si>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</si>
  <si>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</si>
  <si>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</si>
  <si>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</si>
  <si>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</si>
  <si>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</si>
  <si>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</si>
  <si>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</si>
  <si>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</si>
  <si>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</si>
  <si>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</si>
  <si>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</si>
  <si>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</si>
  <si>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</si>
  <si>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</si>
  <si>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</si>
  <si>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</si>
  <si>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</si>
  <si>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</si>
  <si>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</si>
  <si>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</si>
  <si>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</si>
  <si>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</si>
  <si>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</si>
  <si>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</si>
  <si>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</si>
  <si>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</si>
  <si>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</si>
  <si>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</si>
  <si>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</si>
  <si>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</si>
  <si>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</si>
  <si>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</si>
  <si>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</si>
  <si>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</si>
  <si>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</si>
  <si>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</si>
  <si>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</si>
  <si>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</si>
  <si>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</si>
  <si>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</si>
  <si>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</si>
  <si>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</si>
  <si>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</si>
  <si>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</si>
  <si>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</si>
  <si>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</si>
  <si>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</si>
  <si>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</si>
  <si>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</si>
  <si>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</si>
  <si>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</si>
  <si>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</si>
  <si>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</si>
  <si>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</si>
  <si>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</si>
  <si>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</si>
  <si>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</si>
  <si>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</si>
  <si>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</si>
  <si>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</si>
  <si>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</si>
  <si>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</si>
  <si>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</si>
  <si>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</si>
  <si>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</si>
  <si>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</si>
  <si>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</si>
  <si>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</si>
  <si>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</si>
  <si>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</si>
  <si>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</si>
  <si>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</si>
  <si>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</si>
  <si>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</si>
  <si>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</si>
  <si>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</si>
  <si>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</si>
  <si>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</si>
  <si>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</si>
  <si>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</si>
  <si>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</si>
  <si>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</si>
  <si>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</si>
  <si>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</si>
  <si>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</si>
  <si>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</si>
  <si>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</si>
  <si>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</si>
  <si>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</si>
  <si>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</si>
  <si>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</si>
  <si>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</si>
  <si>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</si>
  <si>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</si>
  <si>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</si>
  <si>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</si>
  <si>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</si>
  <si>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</si>
  <si>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</si>
  <si>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</si>
  <si>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</si>
  <si>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</si>
  <si>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</si>
  <si>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</si>
  <si>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</si>
  <si>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</si>
  <si>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</si>
  <si>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</si>
  <si>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</si>
  <si>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</si>
  <si>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</si>
  <si>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</si>
  <si>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</si>
  <si>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</si>
  <si>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</si>
  <si>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</si>
  <si>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</si>
  <si>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</si>
  <si>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</si>
  <si>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</si>
  <si>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</si>
  <si>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</si>
  <si>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</si>
  <si>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</si>
  <si>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</si>
  <si>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</si>
  <si>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</si>
  <si>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</si>
  <si>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</si>
  <si>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</si>
  <si>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</si>
  <si>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</si>
  <si>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</si>
  <si>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</si>
  <si>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</si>
  <si>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</si>
  <si>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</si>
  <si>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</si>
  <si>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</si>
  <si>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</si>
  <si>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</si>
  <si>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</si>
  <si>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</si>
  <si>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</si>
  <si>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</si>
  <si>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</si>
  <si>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</si>
  <si>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</si>
  <si>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</si>
  <si>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</si>
  <si>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</si>
  <si>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</si>
  <si>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</si>
  <si>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</si>
  <si>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</si>
  <si>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</si>
  <si>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</si>
  <si>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</si>
  <si>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</si>
  <si>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</si>
  <si>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</si>
  <si>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</si>
  <si>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</si>
  <si>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</si>
  <si>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</si>
  <si>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</si>
  <si>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</si>
  <si>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</si>
  <si>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</si>
  <si>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</si>
  <si>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</si>
  <si>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</si>
  <si>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</si>
  <si>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</si>
  <si>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</si>
  <si>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</si>
  <si>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</si>
  <si>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</si>
  <si>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</si>
  <si>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</si>
  <si>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</si>
  <si>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</si>
  <si>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</si>
  <si>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</si>
  <si>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</si>
  <si>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</si>
  <si>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</si>
  <si>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</si>
  <si>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</si>
  <si>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</si>
  <si>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</si>
  <si>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</si>
  <si>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</si>
  <si>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</si>
  <si>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</si>
  <si>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</si>
  <si>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</si>
  <si>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</si>
  <si>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</si>
  <si>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</si>
  <si>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</si>
  <si>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</si>
  <si>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</si>
  <si>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</si>
  <si>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</si>
  <si>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</si>
  <si>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</si>
  <si>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</si>
  <si>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</si>
  <si>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</si>
  <si>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</si>
  <si>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</si>
  <si>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</si>
  <si>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</si>
  <si>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</si>
  <si>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</si>
  <si>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</si>
  <si>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</si>
  <si>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</si>
  <si>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</si>
  <si>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</si>
  <si>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</si>
  <si>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</si>
  <si>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</si>
  <si>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</si>
  <si>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</si>
  <si>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</si>
  <si>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</si>
  <si>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</si>
  <si>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</si>
  <si>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</si>
  <si>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</si>
  <si>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</si>
  <si>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</si>
  <si>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</si>
  <si>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</si>
  <si>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</si>
  <si>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</si>
  <si>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</si>
  <si>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</si>
  <si>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</si>
  <si>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</si>
  <si>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</si>
  <si>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</si>
  <si>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</si>
  <si>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</si>
  <si>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</si>
  <si>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</si>
  <si>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</si>
  <si>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</si>
  <si>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</si>
  <si>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</si>
  <si>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</si>
  <si>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</si>
  <si>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</si>
  <si>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</si>
  <si>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</si>
  <si>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</si>
  <si>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</si>
  <si>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</si>
  <si>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</si>
  <si>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</si>
  <si>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</si>
  <si>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</si>
  <si>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</si>
  <si>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</si>
  <si>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</si>
  <si>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</si>
  <si>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</si>
  <si>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</si>
  <si>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</si>
  <si>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</si>
  <si>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</si>
  <si>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</si>
  <si>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</si>
  <si>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</si>
  <si>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</si>
  <si>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</si>
  <si>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</si>
  <si>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</si>
  <si>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</si>
  <si>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</si>
  <si>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</si>
  <si>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</si>
  <si>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</si>
  <si>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</si>
  <si>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</si>
  <si>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</si>
  <si>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</si>
  <si>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</si>
  <si>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</si>
  <si>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</si>
  <si>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</si>
  <si>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</si>
  <si>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</si>
  <si>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</si>
  <si>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</si>
  <si>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</si>
  <si>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</si>
  <si>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</si>
  <si>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</si>
  <si>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</si>
  <si>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</si>
  <si>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</si>
  <si>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</si>
  <si>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</si>
  <si>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</si>
  <si>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</si>
  <si>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</si>
  <si>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</si>
  <si>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</si>
  <si>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</si>
  <si>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</si>
  <si>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</si>
  <si>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</si>
  <si>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</si>
  <si>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</si>
  <si>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</si>
  <si>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</si>
  <si>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</si>
  <si>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</si>
  <si>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</si>
  <si>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</si>
  <si>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</si>
  <si>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</si>
  <si>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</si>
  <si>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</si>
  <si>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</si>
  <si>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</si>
  <si>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</si>
  <si>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</si>
  <si>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</si>
  <si>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</si>
  <si>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</si>
  <si>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</si>
  <si>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</si>
  <si>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</si>
  <si>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</si>
  <si>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</si>
  <si>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</si>
  <si>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</si>
  <si>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</si>
  <si>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</si>
  <si>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</si>
  <si>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</si>
  <si>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</si>
  <si>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</si>
  <si>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</si>
  <si>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</si>
  <si>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</si>
  <si>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</si>
  <si>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</si>
  <si>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</si>
  <si>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</si>
  <si>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</si>
  <si>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</si>
  <si>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</si>
  <si>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</si>
  <si>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</si>
  <si>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</si>
  <si>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</si>
  <si>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</si>
  <si>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</si>
  <si>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</si>
  <si>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</si>
  <si>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</si>
  <si>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</si>
  <si>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</si>
  <si>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</si>
  <si>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</si>
  <si>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</si>
  <si>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</si>
  <si>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</si>
  <si>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</si>
  <si>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</si>
  <si>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</si>
  <si>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</si>
  <si>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</si>
  <si>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</si>
  <si>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</si>
  <si>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</si>
  <si>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</si>
  <si>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</si>
  <si>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</si>
  <si>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</si>
  <si>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</si>
  <si>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</si>
  <si>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</si>
  <si>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</si>
  <si>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</si>
  <si>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</si>
  <si>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</si>
  <si>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</si>
  <si>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</si>
  <si>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</si>
  <si>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</si>
  <si>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</si>
  <si>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</si>
  <si>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</si>
  <si>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</si>
  <si>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</si>
  <si>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</si>
  <si>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</si>
  <si>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</si>
  <si>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</si>
  <si>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</si>
  <si>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</si>
  <si>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</si>
  <si>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</si>
  <si>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</si>
  <si>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</si>
  <si>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</si>
  <si>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</si>
  <si>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</si>
  <si>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</si>
  <si>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</si>
  <si>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</si>
  <si>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</si>
  <si>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</si>
  <si>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</si>
  <si>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</si>
  <si>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</si>
  <si>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</si>
  <si>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</si>
  <si>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</si>
  <si>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</si>
  <si>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</si>
  <si>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</si>
  <si>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</si>
  <si>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</si>
  <si>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</si>
  <si>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</si>
  <si>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</si>
  <si>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</si>
  <si>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</si>
  <si>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</si>
  <si>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</si>
  <si>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</si>
  <si>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</si>
  <si>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</si>
  <si>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</si>
  <si>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</si>
  <si>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</si>
  <si>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</si>
  <si>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</si>
  <si>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</si>
  <si>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</si>
  <si>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</si>
  <si>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</si>
  <si>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</si>
  <si>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</si>
  <si>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</si>
  <si>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</si>
  <si>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</si>
  <si>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</si>
  <si>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</si>
  <si>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</si>
  <si>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</si>
  <si>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</si>
  <si>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</si>
  <si>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</si>
  <si>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</si>
  <si>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</si>
  <si>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</si>
  <si>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</si>
  <si>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</si>
  <si>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</si>
  <si>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</si>
  <si>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</si>
  <si>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</si>
  <si>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</si>
  <si>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</si>
  <si>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</si>
  <si>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</si>
  <si>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</si>
  <si>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</si>
  <si>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</si>
  <si>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</si>
  <si>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</si>
  <si>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</si>
  <si>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</si>
  <si>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</si>
  <si>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</si>
  <si>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</si>
  <si>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</si>
  <si>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</si>
  <si>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</si>
  <si>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</si>
  <si>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</si>
  <si>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</si>
  <si>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</si>
  <si>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</si>
  <si>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</si>
  <si>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</si>
  <si>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</si>
  <si>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</si>
  <si>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</si>
  <si>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</si>
  <si>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</si>
  <si>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</si>
  <si>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</si>
  <si>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</si>
  <si>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</si>
  <si>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</si>
  <si>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</si>
  <si>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</si>
  <si>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</si>
  <si>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</si>
  <si>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</si>
  <si>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</si>
  <si>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</si>
  <si>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</si>
  <si>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</si>
  <si>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</si>
  <si>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</si>
  <si>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</si>
  <si>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</si>
  <si>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</si>
  <si>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</si>
  <si>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</si>
  <si>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</si>
  <si>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</si>
  <si>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</si>
  <si>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</si>
  <si>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</si>
  <si>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</si>
  <si>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</si>
  <si>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</si>
  <si>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</si>
  <si>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</si>
  <si>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</si>
  <si>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</si>
  <si>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</si>
  <si>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</si>
  <si>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</si>
  <si>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</si>
  <si>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</si>
  <si>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</si>
  <si>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</si>
  <si>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</si>
  <si>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</si>
  <si>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</si>
  <si>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</si>
  <si>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</si>
  <si>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</si>
  <si>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</si>
  <si>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</si>
  <si>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</si>
  <si>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</si>
  <si>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</si>
  <si>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</si>
  <si>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</si>
  <si>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</si>
  <si>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</si>
  <si>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</si>
  <si>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</si>
  <si>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</si>
  <si>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</si>
  <si>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</si>
  <si>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</si>
  <si>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</si>
  <si>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</si>
  <si>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</si>
  <si>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</si>
  <si>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</si>
  <si>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</si>
  <si>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</si>
  <si>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</si>
  <si>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</si>
  <si>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</si>
  <si>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</si>
  <si>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</si>
  <si>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</si>
  <si>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</si>
  <si>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</si>
  <si>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</si>
  <si>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</si>
  <si>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</si>
  <si>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</si>
  <si>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</si>
  <si>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</si>
  <si>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</si>
  <si>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</si>
  <si>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</si>
  <si>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</si>
  <si>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</si>
  <si>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</si>
  <si>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</si>
  <si>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</si>
  <si>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</si>
  <si>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</si>
  <si>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</si>
  <si>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</si>
  <si>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</si>
  <si>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</si>
  <si>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</si>
  <si>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</si>
  <si>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</si>
  <si>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</si>
  <si>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</si>
  <si>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</si>
  <si>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</si>
  <si>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</si>
  <si>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</si>
  <si>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</si>
  <si>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</si>
  <si>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</si>
  <si>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</si>
  <si>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</si>
  <si>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</si>
  <si>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</si>
  <si>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</si>
  <si>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</si>
  <si>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</si>
  <si>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</si>
  <si>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</si>
  <si>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</si>
  <si>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</si>
  <si>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</si>
  <si>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</si>
  <si>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</si>
  <si>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</si>
  <si>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</si>
  <si>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</si>
  <si>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</si>
  <si>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</si>
  <si>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</si>
  <si>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</si>
  <si>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</si>
  <si>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</si>
  <si>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</si>
  <si>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</si>
  <si>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</si>
  <si>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</si>
  <si>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</si>
  <si>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</si>
  <si>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</si>
  <si>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</si>
  <si>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</si>
  <si>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</si>
  <si>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</si>
  <si>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</si>
  <si>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</si>
  <si>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</si>
  <si>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</si>
  <si>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</si>
  <si>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</si>
  <si>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</si>
  <si>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</si>
  <si>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</si>
  <si>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</si>
  <si>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</si>
  <si>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</si>
  <si>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</si>
  <si>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</si>
  <si>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</si>
  <si>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</si>
  <si>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</si>
  <si>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</si>
  <si>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</si>
  <si>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</si>
  <si>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</si>
  <si>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</si>
  <si>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</si>
  <si>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</si>
  <si>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</si>
  <si>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</si>
  <si>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</si>
  <si>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</si>
  <si>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</si>
  <si>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</si>
  <si>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</si>
  <si>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</si>
  <si>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</si>
  <si>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</si>
  <si>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</si>
  <si>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</si>
  <si>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</si>
  <si>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</si>
  <si>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</si>
  <si>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</si>
  <si>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</si>
  <si>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</si>
  <si>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</si>
  <si>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</si>
  <si>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</si>
  <si>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</si>
  <si>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</si>
  <si>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</si>
  <si>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</si>
  <si>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</si>
  <si>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</si>
  <si>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</si>
  <si>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</si>
  <si>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</si>
  <si>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</si>
  <si>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</si>
  <si>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</si>
  <si>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</si>
  <si>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</si>
  <si>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</si>
  <si>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</si>
  <si>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</si>
  <si>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</si>
  <si>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</si>
  <si>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</si>
  <si>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</si>
  <si>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</si>
  <si>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</si>
  <si>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</si>
  <si>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</si>
  <si>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</si>
  <si>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</si>
  <si>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</si>
  <si>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</si>
  <si>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</si>
  <si>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</si>
  <si>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</si>
  <si>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</si>
  <si>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</si>
  <si>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</si>
  <si>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</si>
  <si>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</si>
  <si>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</si>
  <si>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</si>
  <si>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</si>
  <si>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</si>
  <si>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</si>
  <si>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</si>
  <si>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</si>
  <si>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</si>
  <si>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</si>
  <si>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</si>
  <si>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</si>
  <si>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</si>
  <si>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</si>
  <si>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</si>
  <si>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</si>
  <si>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</si>
  <si>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</si>
  <si>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</si>
  <si>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</si>
  <si>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</si>
  <si>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</si>
  <si>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</si>
  <si>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</si>
  <si>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</si>
  <si>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</si>
  <si>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</si>
  <si>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</si>
  <si>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</si>
  <si>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</si>
  <si>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</si>
  <si>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</si>
  <si>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</si>
  <si>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</si>
  <si>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</si>
  <si>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</si>
  <si>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</si>
  <si>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</si>
  <si>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</si>
  <si>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</si>
  <si>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</si>
  <si>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</si>
  <si>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</si>
  <si>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</si>
  <si>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</si>
  <si>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</si>
  <si>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</si>
  <si>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</si>
  <si>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</si>
  <si>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</si>
  <si>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</si>
  <si>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</si>
  <si>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</si>
  <si>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</si>
  <si>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</si>
  <si>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</si>
  <si>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</si>
  <si>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</si>
  <si>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</si>
  <si>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</si>
  <si>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</si>
  <si>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</si>
  <si>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</si>
  <si>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</si>
  <si>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</si>
  <si>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</si>
  <si>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</si>
  <si>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</si>
  <si>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</si>
  <si>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</si>
  <si>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</si>
  <si>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</si>
  <si>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</si>
  <si>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</si>
  <si>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</si>
  <si>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</si>
  <si>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</si>
  <si>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</si>
  <si>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</si>
  <si>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</si>
  <si>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</si>
  <si>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</si>
  <si>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</si>
  <si>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</si>
  <si>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</si>
  <si>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</si>
  <si>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</si>
  <si>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</si>
  <si>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</si>
  <si>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</si>
  <si>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</si>
  <si>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</si>
  <si>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</si>
  <si>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</si>
  <si>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</si>
  <si>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</si>
  <si>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</si>
  <si>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</si>
  <si>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</si>
  <si>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</si>
  <si>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</si>
  <si>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</si>
  <si>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</si>
  <si>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</si>
  <si>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</si>
  <si>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</si>
  <si>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</si>
  <si>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</si>
  <si>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</si>
  <si>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</si>
  <si>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</si>
  <si>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</si>
  <si>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</si>
  <si>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</si>
  <si>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</si>
  <si>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</si>
  <si>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</si>
  <si>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</si>
  <si>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</si>
  <si>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</si>
  <si>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</si>
  <si>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</si>
  <si>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</si>
  <si>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</si>
  <si>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</si>
  <si>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</si>
  <si>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</si>
  <si>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</si>
  <si>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</si>
  <si>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</si>
  <si>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</si>
  <si>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</si>
  <si>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</si>
  <si>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</si>
  <si>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</si>
  <si>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</si>
  <si>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</si>
  <si>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</si>
  <si>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</si>
  <si>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</si>
  <si>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</si>
  <si>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</si>
  <si>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</si>
  <si>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</si>
  <si>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</si>
  <si>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</si>
  <si>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</si>
  <si>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</si>
  <si>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</si>
  <si>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</si>
  <si>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</si>
  <si>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</si>
  <si>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</si>
  <si>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</si>
  <si>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</si>
  <si>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</si>
  <si>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</si>
  <si>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</si>
  <si>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</si>
  <si>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</si>
  <si>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</si>
  <si>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</si>
  <si>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</si>
  <si>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</si>
  <si>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</si>
  <si>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</si>
  <si>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</si>
  <si>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</si>
  <si>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</si>
  <si>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</si>
  <si>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</si>
  <si>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</si>
  <si>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</si>
  <si>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</si>
  <si>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</si>
  <si>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</si>
  <si>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</si>
  <si>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</si>
  <si>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</si>
  <si>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</si>
  <si>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</si>
  <si>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</si>
  <si>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</si>
  <si>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</si>
  <si>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</si>
  <si>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</si>
  <si>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</si>
  <si>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</si>
  <si>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</si>
  <si>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</si>
  <si>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</si>
  <si>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</si>
  <si>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</si>
  <si>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</si>
  <si>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</si>
  <si>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</si>
  <si>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</si>
  <si>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</si>
  <si>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</si>
  <si>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</si>
  <si>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</si>
  <si>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</si>
  <si>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</si>
  <si>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</si>
  <si>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</si>
  <si>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</si>
  <si>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</si>
  <si>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</si>
  <si>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</si>
  <si>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</si>
  <si>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</si>
  <si>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</si>
  <si>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</si>
  <si>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</si>
  <si>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</si>
  <si>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</si>
  <si>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</si>
  <si>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</si>
  <si>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</si>
  <si>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</si>
  <si>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</si>
  <si>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</si>
  <si>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</si>
  <si>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</si>
  <si>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</si>
  <si>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</si>
  <si>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</si>
  <si>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</si>
  <si>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</si>
  <si>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</si>
  <si>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</si>
  <si>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</si>
  <si>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</si>
  <si>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</si>
  <si>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</si>
  <si>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</si>
  <si>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</si>
  <si>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</si>
  <si>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</si>
  <si>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</si>
  <si>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</si>
  <si>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</si>
  <si>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</si>
  <si>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</si>
  <si>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</si>
  <si>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</si>
  <si>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</si>
  <si>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</si>
  <si>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</si>
  <si>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</si>
  <si>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</si>
  <si>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</si>
  <si>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</si>
  <si>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</si>
  <si>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</si>
  <si>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</si>
  <si>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</si>
  <si>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</si>
  <si>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</si>
  <si>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</si>
  <si>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</si>
  <si>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</si>
  <si>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</si>
  <si>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</si>
  <si>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</si>
  <si>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</si>
  <si>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</si>
  <si>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</si>
  <si>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</si>
  <si>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</si>
  <si>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</si>
  <si>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</si>
  <si>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</si>
  <si>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</si>
  <si>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</si>
  <si>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</si>
  <si>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</si>
  <si>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</si>
  <si>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</si>
  <si>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</si>
  <si>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</si>
  <si>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</si>
  <si>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</si>
  <si>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</si>
  <si>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</si>
  <si>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</si>
  <si>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</si>
  <si>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</si>
  <si>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</si>
  <si>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</si>
  <si>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</si>
  <si>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</si>
  <si>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</si>
  <si>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</si>
  <si>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</si>
  <si>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</si>
  <si>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</si>
  <si>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</si>
  <si>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</si>
  <si>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</si>
  <si>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</si>
  <si>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</si>
  <si>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</si>
  <si>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</si>
  <si>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</si>
  <si>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</si>
  <si>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</si>
  <si>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</si>
  <si>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</si>
  <si>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</si>
  <si>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</si>
  <si>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</si>
  <si>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</si>
  <si>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</si>
  <si>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</si>
  <si>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</si>
  <si>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</si>
  <si>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</si>
  <si>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</si>
  <si>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</si>
  <si>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</si>
  <si>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</si>
  <si>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</si>
  <si>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</si>
  <si>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</si>
  <si>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</si>
  <si>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</si>
  <si>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</si>
  <si>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</si>
  <si>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</si>
  <si>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</si>
  <si>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</si>
  <si>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</si>
  <si>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</si>
  <si>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</si>
  <si>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</si>
  <si>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</si>
  <si>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</si>
  <si>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</si>
  <si>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</si>
  <si>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</si>
  <si>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</si>
  <si>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</si>
  <si>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</si>
  <si>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</si>
  <si>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</si>
  <si>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</si>
  <si>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</si>
  <si>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</si>
  <si>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</si>
  <si>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</si>
  <si>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</si>
  <si>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</si>
  <si>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</si>
  <si>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</si>
  <si>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</si>
  <si>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</si>
  <si>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</si>
  <si>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</si>
  <si>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</si>
  <si>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</si>
  <si>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</si>
  <si>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</si>
  <si>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</si>
  <si>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</si>
  <si>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</si>
  <si>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</si>
  <si>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</si>
  <si>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</si>
  <si>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</si>
  <si>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</si>
  <si>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</si>
  <si>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</si>
  <si>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</si>
  <si>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</si>
  <si>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</si>
  <si>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</si>
  <si>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</si>
  <si>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</si>
  <si>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</si>
  <si>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</si>
  <si>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</si>
  <si>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</si>
  <si>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</si>
  <si>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</si>
  <si>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</si>
  <si>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</si>
  <si>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</si>
  <si>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</si>
  <si>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</si>
  <si>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</si>
  <si>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</si>
  <si>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</si>
  <si>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</si>
  <si>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</si>
  <si>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</si>
  <si>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</si>
  <si>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</si>
  <si>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</si>
  <si>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</si>
  <si>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</si>
  <si>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</si>
  <si>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</si>
  <si>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</si>
  <si>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</si>
  <si>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</si>
  <si>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</si>
  <si>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</si>
  <si>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</si>
  <si>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</si>
  <si>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</si>
  <si>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</si>
  <si>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</si>
  <si>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</si>
  <si>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</si>
  <si>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</si>
  <si>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</si>
  <si>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</si>
  <si>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</si>
  <si>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</si>
  <si>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</si>
  <si>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</si>
  <si>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</si>
  <si>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</si>
  <si>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</si>
  <si>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</si>
  <si>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</si>
  <si>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</si>
  <si>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</si>
  <si>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</si>
  <si>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</si>
  <si>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</si>
  <si>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</si>
  <si>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</si>
  <si>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</si>
  <si>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</si>
  <si>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</si>
  <si>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</si>
  <si>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</si>
  <si>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</si>
  <si>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</si>
  <si>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</si>
  <si>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</si>
  <si>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</si>
  <si>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</si>
  <si>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</si>
  <si>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</si>
  <si>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</si>
  <si>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</si>
  <si>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</si>
  <si>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</si>
  <si>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</si>
  <si>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</si>
  <si>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</si>
  <si>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</si>
  <si>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</si>
  <si>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</si>
  <si>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</si>
  <si>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</si>
  <si>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</si>
  <si>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</si>
  <si>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</si>
  <si>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</si>
  <si>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</si>
  <si>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</si>
  <si>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</si>
  <si>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</si>
  <si>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</si>
  <si>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</si>
  <si>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</si>
  <si>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</si>
  <si>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</si>
  <si>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</si>
  <si>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</si>
  <si>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</si>
  <si>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</si>
  <si>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</si>
  <si>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</si>
  <si>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</si>
  <si>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</si>
  <si>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</si>
  <si>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</si>
  <si>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</si>
  <si>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</si>
  <si>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</si>
  <si>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</si>
  <si>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</si>
  <si>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</si>
  <si>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</si>
  <si>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</si>
  <si>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</si>
  <si>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</si>
  <si>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</si>
  <si>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</si>
  <si>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</si>
  <si>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</si>
  <si>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</si>
  <si>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</si>
  <si>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</si>
  <si>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</si>
  <si>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</si>
  <si>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</si>
  <si>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</si>
  <si>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</si>
  <si>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</si>
  <si>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</si>
  <si>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</si>
  <si>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</si>
  <si>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</si>
  <si>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</si>
  <si>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</si>
  <si>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</si>
  <si>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</si>
  <si>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</si>
  <si>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</si>
  <si>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</si>
  <si>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</si>
  <si>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</si>
  <si>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</si>
  <si>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</si>
  <si>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</si>
  <si>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</si>
  <si>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</si>
  <si>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</si>
  <si>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</si>
  <si>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</si>
  <si>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</si>
  <si>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</si>
  <si>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</si>
  <si>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</si>
  <si>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</si>
  <si>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</si>
  <si>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</si>
  <si>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</si>
  <si>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</si>
  <si>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</si>
  <si>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</si>
  <si>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</si>
  <si>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</si>
  <si>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</si>
  <si>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</si>
  <si>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</si>
  <si>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</si>
  <si>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</si>
  <si>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</si>
  <si>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</si>
  <si>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</si>
  <si>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</si>
  <si>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</si>
  <si>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</si>
  <si>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</si>
  <si>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</si>
  <si>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</si>
  <si>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</si>
  <si>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</si>
  <si>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</si>
  <si>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</si>
  <si>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</si>
  <si>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</si>
  <si>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</si>
  <si>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</si>
  <si>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</si>
  <si>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</si>
  <si>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</si>
  <si>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</si>
  <si>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</si>
  <si>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</si>
  <si>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</si>
  <si>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</si>
  <si>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</si>
  <si>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</si>
  <si>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</si>
  <si>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</si>
  <si>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</si>
  <si>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</si>
  <si>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</si>
  <si>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</si>
  <si>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</si>
  <si>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</si>
  <si>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</si>
  <si>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</si>
  <si>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</si>
  <si>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</si>
  <si>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</si>
  <si>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</si>
  <si>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</si>
  <si>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</si>
  <si>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</si>
  <si>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</si>
  <si>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</si>
  <si>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</si>
  <si>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</si>
  <si>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</si>
  <si>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</si>
  <si>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</si>
  <si>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</si>
  <si>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</si>
  <si>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</si>
  <si>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</si>
  <si>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</si>
  <si>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</si>
  <si>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</si>
  <si>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</si>
  <si>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</si>
  <si>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</si>
  <si>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</si>
  <si>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</si>
  <si>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</si>
  <si>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</si>
  <si>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</si>
  <si>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</si>
  <si>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</si>
  <si>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</si>
  <si>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</si>
  <si>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</si>
  <si>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</si>
  <si>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</si>
  <si>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</si>
  <si>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</si>
  <si>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</si>
  <si>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</si>
  <si>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</si>
  <si>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</si>
  <si>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</si>
  <si>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</si>
  <si>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</si>
  <si>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</si>
  <si>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</si>
  <si>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</si>
  <si>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</si>
  <si>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</si>
  <si>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</si>
  <si>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</si>
  <si>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</si>
  <si>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</si>
  <si>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</si>
  <si>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</si>
  <si>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</si>
  <si>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</si>
  <si>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</si>
  <si>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</si>
  <si>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</si>
  <si>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</si>
  <si>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</si>
  <si>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</si>
  <si>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</si>
  <si>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</si>
  <si>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</si>
  <si>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</si>
  <si>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</si>
  <si>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</si>
  <si>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</si>
  <si>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</si>
  <si>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</si>
  <si>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</si>
  <si>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</si>
  <si>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</si>
  <si>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</si>
  <si>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</si>
  <si>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</si>
  <si>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</si>
  <si>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</si>
  <si>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</si>
  <si>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</si>
  <si>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</si>
  <si>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</si>
  <si>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</si>
  <si>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</si>
  <si>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</si>
  <si>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</si>
  <si>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</si>
  <si>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</si>
  <si>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</si>
  <si>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</si>
  <si>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</si>
  <si>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</si>
  <si>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</si>
  <si>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</si>
  <si>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</si>
  <si>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</si>
  <si>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</si>
  <si>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</si>
  <si>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</si>
  <si>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</si>
  <si>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</si>
  <si>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</si>
  <si>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</si>
  <si>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</si>
  <si>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</si>
  <si>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</si>
  <si>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</si>
  <si>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</si>
  <si>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</si>
  <si>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</si>
  <si>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</si>
  <si>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</si>
  <si>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</si>
  <si>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</si>
  <si>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</si>
  <si>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</si>
  <si>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</si>
  <si>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</si>
  <si>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</si>
  <si>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</si>
  <si>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</si>
  <si>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</si>
  <si>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</si>
  <si>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</si>
  <si>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</si>
  <si>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</si>
  <si>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</si>
  <si>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</si>
  <si>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</si>
  <si>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</si>
  <si>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</si>
  <si>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</si>
  <si>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</si>
  <si>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</si>
  <si>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</si>
  <si>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</si>
  <si>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</si>
  <si>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</si>
  <si>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</si>
  <si>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</si>
  <si>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</si>
  <si>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</si>
  <si>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</si>
  <si>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</si>
  <si>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</si>
  <si>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</si>
  <si>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</si>
  <si>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</si>
  <si>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</si>
  <si>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</si>
  <si>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</si>
  <si>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</si>
  <si>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</si>
  <si>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</si>
  <si>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</si>
  <si>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</si>
  <si>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</si>
  <si>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</si>
  <si>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</si>
  <si>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</si>
  <si>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</si>
  <si>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</si>
  <si>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</si>
  <si>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</si>
  <si>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</si>
  <si>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</si>
  <si>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</si>
  <si>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</si>
  <si>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</si>
  <si>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</si>
  <si>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</si>
  <si>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</si>
  <si>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</si>
  <si>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</si>
  <si>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</si>
  <si>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</si>
  <si>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</si>
  <si>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</si>
  <si>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</si>
  <si>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</si>
  <si>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</si>
  <si>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</si>
  <si>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</si>
  <si>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</si>
  <si>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</si>
  <si>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</si>
  <si>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</si>
  <si>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</si>
  <si>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</si>
  <si>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</si>
  <si>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</si>
  <si>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</si>
  <si>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</si>
  <si>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</si>
  <si>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</si>
  <si>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</si>
  <si>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</si>
  <si>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</si>
  <si>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</si>
  <si>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</si>
  <si>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</si>
  <si>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</si>
  <si>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</si>
  <si>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</si>
  <si>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</si>
  <si>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</si>
  <si>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</si>
  <si>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</si>
  <si>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</si>
  <si>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</si>
  <si>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</si>
  <si>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</si>
  <si>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</si>
  <si>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</si>
  <si>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</si>
  <si>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</si>
  <si>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</si>
  <si>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</si>
  <si>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</si>
  <si>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</si>
  <si>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</si>
  <si>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</si>
  <si>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</si>
  <si>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</si>
  <si>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</si>
  <si>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</si>
  <si>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</si>
  <si>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</si>
  <si>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</si>
  <si>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</si>
  <si>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</si>
  <si>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</si>
  <si>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</si>
  <si>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</si>
  <si>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</si>
  <si>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</si>
  <si>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</si>
  <si>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</si>
  <si>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</si>
  <si>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</si>
  <si>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</si>
  <si>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</si>
  <si>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</si>
  <si>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</si>
  <si>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</si>
  <si>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</si>
  <si>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</si>
  <si>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</si>
  <si>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</si>
  <si>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</si>
  <si>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</si>
  <si>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</si>
  <si>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</si>
  <si>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</si>
  <si>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</si>
  <si>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</si>
  <si>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</si>
  <si>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</si>
  <si>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</si>
  <si>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</si>
  <si>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</si>
  <si>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</si>
  <si>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</si>
  <si>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</si>
  <si>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</si>
  <si>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</si>
  <si>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</si>
  <si>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</si>
  <si>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</si>
  <si>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</si>
  <si>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</si>
  <si>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</si>
  <si>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</si>
  <si>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</si>
  <si>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</si>
  <si>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</si>
  <si>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</si>
  <si>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</si>
  <si>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</si>
  <si>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</si>
  <si>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</si>
  <si>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</si>
  <si>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</si>
  <si>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</si>
  <si>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</si>
  <si>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</si>
  <si>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</si>
  <si>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</si>
  <si>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</si>
  <si>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</si>
  <si>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</si>
  <si>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</si>
  <si>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</si>
  <si>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</si>
  <si>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</si>
  <si>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</si>
  <si>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</si>
  <si>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</si>
  <si>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</si>
  <si>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</si>
  <si>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</si>
  <si>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</si>
  <si>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</si>
  <si>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</si>
  <si>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</si>
  <si>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</si>
  <si>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</si>
  <si>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</si>
  <si>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</si>
  <si>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</si>
  <si>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</si>
  <si>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</si>
  <si>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</si>
  <si>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</si>
  <si>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</si>
  <si>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</si>
  <si>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</si>
  <si>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</si>
  <si>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</si>
  <si>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</si>
  <si>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</si>
  <si>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</si>
  <si>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</si>
  <si>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</si>
  <si>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</si>
  <si>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</si>
  <si>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</si>
  <si>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</si>
  <si>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</si>
  <si>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</si>
  <si>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</si>
  <si>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</si>
  <si>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</si>
  <si>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</si>
  <si>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</si>
  <si>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</si>
  <si>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</si>
  <si>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</si>
  <si>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</si>
  <si>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</si>
  <si>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</si>
  <si>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</si>
  <si>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</si>
  <si>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</si>
  <si>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</si>
  <si>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</si>
  <si>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</si>
  <si>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</si>
  <si>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</si>
  <si>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</si>
  <si>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</si>
  <si>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</si>
  <si>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</si>
  <si>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</si>
  <si>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</si>
  <si>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</si>
  <si>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</si>
  <si>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</si>
  <si>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</si>
  <si>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</si>
  <si>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</si>
  <si>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</si>
  <si>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</si>
  <si>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</si>
  <si>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</si>
  <si>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</si>
  <si>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</si>
  <si>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</si>
  <si>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</si>
  <si>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</si>
  <si>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</si>
  <si>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</si>
  <si>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</si>
  <si>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</si>
  <si>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</si>
  <si>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</si>
  <si>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</si>
  <si>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</si>
  <si>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</si>
  <si>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</si>
  <si>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</si>
  <si>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</si>
  <si>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</si>
  <si>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</si>
  <si>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</si>
  <si>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</si>
  <si>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</si>
  <si>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</si>
  <si>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</si>
  <si>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</si>
  <si>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</si>
  <si>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</si>
  <si>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</si>
  <si>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</si>
  <si>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</si>
  <si>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</si>
  <si>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</si>
  <si>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</si>
  <si>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</si>
  <si>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</si>
  <si>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</si>
  <si>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</si>
  <si>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</si>
  <si>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</si>
  <si>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</si>
  <si>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</si>
  <si>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</si>
  <si>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</si>
  <si>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</si>
  <si>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</si>
  <si>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</si>
  <si>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</si>
  <si>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</si>
  <si>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</si>
  <si>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</si>
  <si>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</si>
  <si>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</si>
  <si>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</si>
  <si>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</si>
  <si>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</si>
  <si>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</si>
  <si>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</si>
  <si>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</si>
  <si>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</si>
  <si>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</si>
  <si>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</si>
  <si>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</si>
  <si>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</si>
  <si>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</si>
  <si>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</si>
  <si>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</si>
  <si>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</si>
  <si>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</si>
  <si>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</si>
  <si>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</si>
  <si>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</si>
  <si>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</si>
  <si>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</si>
  <si>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</si>
  <si>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</si>
  <si>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</si>
  <si>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</si>
  <si>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</si>
  <si>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</si>
  <si>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</si>
  <si>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</si>
  <si>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</si>
  <si>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</si>
  <si>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</si>
  <si>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</si>
  <si>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</si>
  <si>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</si>
  <si>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</si>
  <si>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</si>
  <si>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</si>
  <si>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</si>
  <si>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</si>
  <si>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</si>
  <si>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</si>
  <si>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</si>
  <si>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</si>
  <si>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</si>
  <si>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</si>
  <si>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</si>
  <si>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</si>
  <si>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</si>
  <si>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</si>
  <si>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</si>
  <si>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</si>
  <si>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</si>
  <si>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</si>
  <si>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</si>
  <si>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</si>
  <si>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</si>
  <si>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</si>
  <si>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</si>
  <si>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</si>
  <si>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</si>
  <si>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</si>
  <si>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</si>
  <si>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</si>
  <si>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</si>
  <si>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</si>
  <si>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</si>
  <si>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</si>
  <si>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</si>
  <si>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</si>
  <si>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</si>
  <si>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</si>
  <si>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</si>
  <si>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</si>
  <si>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</si>
  <si>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</si>
  <si>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</si>
  <si>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</si>
  <si>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</si>
  <si>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</si>
  <si>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</si>
  <si>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</si>
  <si>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</si>
  <si>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</si>
  <si>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</si>
  <si>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</si>
  <si>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</si>
  <si>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</si>
  <si>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</si>
  <si>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</si>
  <si>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</si>
  <si>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</si>
  <si>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</si>
  <si>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</si>
  <si>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</si>
  <si>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</si>
  <si>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</si>
  <si>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</si>
  <si>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</si>
  <si>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</si>
  <si>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</si>
  <si>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</si>
  <si>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</si>
  <si>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</si>
  <si>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</si>
  <si>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</si>
  <si>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</si>
  <si>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</si>
  <si>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</si>
  <si>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</si>
  <si>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</si>
  <si>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</si>
  <si>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</si>
  <si>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</si>
  <si>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</si>
  <si>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</si>
  <si>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</si>
  <si>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</si>
  <si>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</si>
  <si>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</si>
  <si>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</si>
  <si>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</si>
  <si>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</si>
  <si>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</si>
  <si>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</si>
  <si>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</si>
  <si>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</si>
  <si>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</si>
  <si>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</si>
  <si>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</si>
  <si>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</si>
  <si>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</si>
  <si>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</si>
  <si>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</si>
  <si>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</si>
  <si>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</si>
  <si>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</si>
  <si>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</si>
  <si>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</si>
  <si>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</si>
  <si>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</si>
  <si>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</si>
  <si>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</si>
  <si>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</si>
  <si>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</si>
  <si>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</si>
  <si>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</si>
  <si>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</si>
  <si>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</si>
  <si>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</si>
  <si>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</si>
  <si>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</si>
  <si>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</si>
  <si>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</si>
  <si>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</si>
  <si>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</si>
  <si>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</si>
  <si>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</si>
  <si>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</si>
  <si>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</si>
  <si>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</si>
  <si>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</si>
  <si>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</si>
  <si>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</si>
  <si>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</si>
  <si>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</si>
  <si>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</si>
  <si>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</si>
  <si>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</si>
  <si>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</si>
  <si>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</si>
  <si>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</si>
  <si>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</si>
  <si>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</si>
  <si>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</si>
  <si>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</si>
  <si>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</si>
  <si>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</si>
  <si>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</si>
  <si>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</si>
  <si>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</si>
  <si>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</si>
  <si>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</si>
  <si>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</si>
  <si>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</si>
  <si>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</si>
  <si>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</si>
  <si>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</si>
  <si>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</si>
  <si>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</si>
  <si>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</si>
  <si>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</si>
  <si>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</si>
  <si>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</si>
  <si>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</si>
  <si>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</si>
  <si>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</si>
  <si>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</si>
  <si>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</si>
  <si>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</si>
  <si>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</si>
  <si>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</si>
  <si>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</si>
  <si>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</si>
  <si>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</si>
  <si>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</si>
  <si>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</si>
  <si>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</si>
  <si>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</si>
  <si>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</si>
  <si>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</si>
  <si>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</si>
  <si>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</si>
  <si>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</si>
  <si>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</si>
  <si>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</si>
  <si>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</si>
  <si>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</si>
  <si>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</si>
  <si>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</si>
  <si>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</si>
  <si>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</si>
  <si>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</si>
  <si>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</si>
  <si>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</si>
  <si>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</si>
  <si>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</si>
  <si>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</si>
  <si>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</si>
  <si>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</si>
  <si>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</si>
  <si>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</si>
  <si>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</si>
  <si>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</si>
  <si>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</si>
  <si>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</si>
  <si>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</si>
  <si>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</si>
  <si>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</si>
  <si>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</si>
  <si>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</si>
  <si>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</si>
  <si>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</si>
  <si>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</si>
  <si>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</si>
  <si>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</si>
  <si>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</si>
  <si>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</si>
  <si>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</si>
  <si>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</si>
  <si>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</si>
  <si>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</si>
  <si>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</si>
  <si>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</si>
  <si>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</si>
  <si>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</si>
  <si>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</si>
  <si>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</si>
  <si>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</si>
  <si>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</si>
  <si>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</si>
  <si>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</si>
  <si>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</si>
  <si>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</si>
  <si>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</si>
  <si>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</si>
  <si>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</si>
  <si>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</si>
  <si>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</si>
  <si>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</si>
  <si>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</si>
  <si>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</si>
  <si>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</si>
  <si>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</si>
  <si>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</si>
  <si>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</si>
  <si>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</si>
  <si>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</si>
  <si>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</si>
  <si>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</si>
  <si>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</si>
  <si>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</si>
  <si>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</si>
  <si>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</si>
  <si>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</si>
  <si>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</si>
  <si>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</si>
  <si>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</si>
  <si>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</si>
  <si>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</si>
  <si>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</si>
  <si>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</si>
  <si>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</si>
  <si>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</si>
  <si>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</si>
  <si>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</si>
  <si>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</si>
  <si>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</si>
  <si>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</si>
  <si>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</si>
  <si>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</si>
  <si>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</si>
  <si>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</si>
  <si>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</si>
  <si>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</si>
  <si>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</si>
  <si>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</si>
  <si>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</si>
  <si>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</si>
  <si>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</si>
  <si>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</si>
  <si>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</si>
  <si>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</si>
  <si>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</si>
  <si>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</si>
  <si>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</si>
  <si>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</si>
  <si>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</si>
  <si>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</si>
  <si>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</si>
  <si>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</si>
  <si>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</si>
  <si>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</si>
  <si>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</si>
  <si>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</si>
  <si>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</si>
  <si>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</si>
  <si>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</si>
  <si>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</si>
  <si>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</si>
  <si>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</si>
  <si>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</si>
  <si>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</si>
  <si>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</si>
  <si>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</si>
  <si>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</si>
  <si>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</si>
  <si>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</si>
  <si>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89406825003</t>
  </si>
  <si>
    <t>03410153</t>
  </si>
  <si>
    <t>060083654</t>
  </si>
  <si>
    <t>VODOVOD D.O.O. ZADAR</t>
  </si>
  <si>
    <t>ZADAR</t>
  </si>
  <si>
    <t>ŠPIRE BRUSINE 17</t>
  </si>
  <si>
    <t>www.vodovod-zadar.hr</t>
  </si>
  <si>
    <t>vodovod1@vodovod-zadar.hr</t>
  </si>
  <si>
    <t>023/282902</t>
  </si>
  <si>
    <t>Klaudia Stulić, Iva Kolanović</t>
  </si>
  <si>
    <t>023/282 926</t>
  </si>
  <si>
    <t>klaudia.stulic@vodovod-zadar.hr</t>
  </si>
  <si>
    <t>MSFI</t>
  </si>
  <si>
    <t>TOMISLAV MATEK, dipl. ing. građ.</t>
  </si>
  <si>
    <t>98910718267</t>
  </si>
  <si>
    <t>6</t>
  </si>
  <si>
    <t>7</t>
  </si>
  <si>
    <t>8</t>
  </si>
  <si>
    <t>9</t>
  </si>
  <si>
    <t>10</t>
  </si>
  <si>
    <t>11</t>
  </si>
  <si>
    <t>12</t>
  </si>
  <si>
    <t>13</t>
  </si>
  <si>
    <t>14</t>
  </si>
  <si>
    <t>14/23</t>
  </si>
  <si>
    <t>15</t>
  </si>
  <si>
    <t>16</t>
  </si>
  <si>
    <t>17</t>
  </si>
  <si>
    <t>18</t>
  </si>
  <si>
    <t>19</t>
  </si>
  <si>
    <t>21</t>
  </si>
  <si>
    <t>22</t>
  </si>
  <si>
    <t>22/23</t>
  </si>
  <si>
    <t>24</t>
  </si>
  <si>
    <t>25</t>
  </si>
  <si>
    <t>26</t>
  </si>
  <si>
    <t>17/26</t>
  </si>
  <si>
    <t>18/25</t>
  </si>
  <si>
    <t>23</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</si>
</sst>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31264718.92</v>
      </c>
      <c r="I3" s="27">
        <f>ABS(ROUND(J3,0)-J3)+ABS(ROUND(K3,0)-K3)</f>
        <v>0</v>
      </c>
      <c r="J3" s="27">
        <f>Bilanca!I10</f>
        <v>521063838</v>
      </c>
      <c r="K3" s="27">
        <f>Bilanca!J10</f>
        <v>521086054</v>
      </c>
    </row>
    <row r="4" spans="1:11" ht="12.75">
      <c r="A4" s="4" t="s">
        <v>2697</v>
      </c>
      <c r="B4" s="25" t="s">
        <v>364</v>
      </c>
      <c r="D4" s="4" t="s">
        <v>554</v>
      </c>
      <c r="E4" s="4">
        <v>1</v>
      </c>
      <c r="F4" s="4">
        <f>Bilanca!G11</f>
        <v>3</v>
      </c>
      <c r="G4" s="4">
        <f>IF(Bilanca!H11=0,"",Bilanca!H11)</f>
      </c>
      <c r="H4" s="26">
        <f>J4/100*F4+2*K4/100*F4</f>
        <v>42156.45</v>
      </c>
      <c r="I4" s="27">
        <f>ABS(ROUND(J4,0)-J4)+ABS(ROUND(K4,0)-K4)</f>
        <v>0</v>
      </c>
      <c r="J4" s="27">
        <f>Bilanca!I11</f>
        <v>725625</v>
      </c>
      <c r="K4" s="27">
        <f>Bilanca!J11</f>
        <v>339795</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03410153</v>
      </c>
      <c r="D6" s="4" t="s">
        <v>554</v>
      </c>
      <c r="E6" s="4">
        <v>1</v>
      </c>
      <c r="F6" s="4">
        <f>Bilanca!G13</f>
        <v>5</v>
      </c>
      <c r="G6" s="4" t="str">
        <f>IF(Bilanca!H13=0,"",Bilanca!H13)</f>
        <v>14</v>
      </c>
      <c r="H6" s="26">
        <f aca="true" t="shared" si="0" ref="H6:H45">J6/100*F6+2*K6/100*F6</f>
        <v>42038.35</v>
      </c>
      <c r="I6" s="27">
        <f aca="true" t="shared" si="1" ref="I6:I45">ABS(ROUND(J6,0)-J6)+ABS(ROUND(K6,0)-K6)</f>
        <v>0</v>
      </c>
      <c r="J6" s="27">
        <f>Bilanca!I13</f>
        <v>312217</v>
      </c>
      <c r="K6" s="27">
        <f>Bilanca!J13</f>
        <v>264275</v>
      </c>
    </row>
    <row r="7" spans="1:11" ht="12.75">
      <c r="A7" s="4" t="s">
        <v>1561</v>
      </c>
      <c r="B7" s="25" t="str">
        <f>RefStr!M27</f>
        <v>060083654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89406825003</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VODOVOD D.O.O. ZADAR</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23000</v>
      </c>
      <c r="D10" s="4" t="s">
        <v>554</v>
      </c>
      <c r="E10" s="4">
        <v>1</v>
      </c>
      <c r="F10" s="4">
        <f>Bilanca!G17</f>
        <v>9</v>
      </c>
      <c r="G10" s="4" t="str">
        <f>IF(Bilanca!H17=0,"",Bilanca!H17)</f>
        <v>14/23</v>
      </c>
      <c r="H10" s="26">
        <f t="shared" si="0"/>
        <v>50800.32</v>
      </c>
      <c r="I10" s="27">
        <f t="shared" si="1"/>
        <v>0</v>
      </c>
      <c r="J10" s="27">
        <f>Bilanca!I17</f>
        <v>413408</v>
      </c>
      <c r="K10" s="27">
        <f>Bilanca!J17</f>
        <v>75520</v>
      </c>
    </row>
    <row r="11" spans="1:11" ht="12.75">
      <c r="A11" s="4" t="s">
        <v>2737</v>
      </c>
      <c r="B11" s="25" t="str">
        <f>TRIM(RefStr!F31)</f>
        <v>ZADAR</v>
      </c>
      <c r="D11" s="4" t="s">
        <v>554</v>
      </c>
      <c r="E11" s="4">
        <v>1</v>
      </c>
      <c r="F11" s="4">
        <f>Bilanca!G18</f>
        <v>10</v>
      </c>
      <c r="G11" s="4">
        <f>IF(Bilanca!H18=0,"",Bilanca!H18)</f>
      </c>
      <c r="H11" s="26">
        <f t="shared" si="0"/>
        <v>154245752.7</v>
      </c>
      <c r="I11" s="27">
        <f t="shared" si="1"/>
        <v>0</v>
      </c>
      <c r="J11" s="27">
        <f>Bilanca!I18</f>
        <v>513095135</v>
      </c>
      <c r="K11" s="27">
        <f>Bilanca!J18</f>
        <v>514681196</v>
      </c>
    </row>
    <row r="12" spans="1:11" ht="12.75">
      <c r="A12" s="4" t="s">
        <v>2738</v>
      </c>
      <c r="B12" s="25" t="str">
        <f>TRIM(RefStr!C33)</f>
        <v>ŠPIRE BRUSINE 17</v>
      </c>
      <c r="D12" s="4" t="s">
        <v>554</v>
      </c>
      <c r="E12" s="4">
        <v>1</v>
      </c>
      <c r="F12" s="4">
        <f>Bilanca!G19</f>
        <v>11</v>
      </c>
      <c r="G12" s="4" t="str">
        <f>IF(Bilanca!H19=0,"",Bilanca!H19)</f>
        <v>14</v>
      </c>
      <c r="H12" s="26">
        <f t="shared" si="0"/>
        <v>16113980.850000001</v>
      </c>
      <c r="I12" s="27">
        <f t="shared" si="1"/>
        <v>0</v>
      </c>
      <c r="J12" s="27">
        <f>Bilanca!I19</f>
        <v>48830245</v>
      </c>
      <c r="K12" s="27">
        <f>Bilanca!J19</f>
        <v>48830245</v>
      </c>
    </row>
    <row r="13" spans="1:11" ht="12.75">
      <c r="A13" s="4" t="s">
        <v>2884</v>
      </c>
      <c r="B13" s="25" t="str">
        <f>TRIM(RefStr!C35)</f>
        <v>vodovod1@vodovod-zadar.hr</v>
      </c>
      <c r="D13" s="4" t="s">
        <v>554</v>
      </c>
      <c r="E13" s="4">
        <v>1</v>
      </c>
      <c r="F13" s="4">
        <f>Bilanca!G20</f>
        <v>12</v>
      </c>
      <c r="G13" s="4" t="str">
        <f>IF(Bilanca!H20=0,"",Bilanca!H20)</f>
        <v>14</v>
      </c>
      <c r="H13" s="26">
        <f t="shared" si="0"/>
        <v>150073247.64</v>
      </c>
      <c r="I13" s="27">
        <f t="shared" si="1"/>
        <v>0</v>
      </c>
      <c r="J13" s="27">
        <f>Bilanca!I20</f>
        <v>408173385</v>
      </c>
      <c r="K13" s="27">
        <f>Bilanca!J20</f>
        <v>421218506</v>
      </c>
    </row>
    <row r="14" spans="1:11" ht="12.75">
      <c r="A14" s="4" t="s">
        <v>2885</v>
      </c>
      <c r="B14" s="25" t="str">
        <f>TRIM(RefStr!C37)</f>
        <v>www.vodovod-zadar.hr</v>
      </c>
      <c r="D14" s="4" t="s">
        <v>554</v>
      </c>
      <c r="E14" s="4">
        <v>1</v>
      </c>
      <c r="F14" s="4">
        <f>Bilanca!G21</f>
        <v>13</v>
      </c>
      <c r="G14" s="4" t="str">
        <f>IF(Bilanca!H21=0,"",Bilanca!H21)</f>
        <v>14</v>
      </c>
      <c r="H14" s="26">
        <f t="shared" si="0"/>
        <v>9240225.8</v>
      </c>
      <c r="I14" s="27">
        <f t="shared" si="1"/>
        <v>0</v>
      </c>
      <c r="J14" s="27">
        <f>Bilanca!I21</f>
        <v>22560914</v>
      </c>
      <c r="K14" s="27">
        <f>Bilanca!J21</f>
        <v>24258873</v>
      </c>
    </row>
    <row r="15" spans="1:11" ht="12.75">
      <c r="A15" s="4" t="s">
        <v>2741</v>
      </c>
      <c r="B15" s="25" t="str">
        <f>TEXT(RefStr!J39,"00")</f>
        <v>13</v>
      </c>
      <c r="D15" s="4" t="s">
        <v>554</v>
      </c>
      <c r="E15" s="4">
        <v>1</v>
      </c>
      <c r="F15" s="4">
        <f>Bilanca!G22</f>
        <v>14</v>
      </c>
      <c r="G15" s="4" t="str">
        <f>IF(Bilanca!H22=0,"",Bilanca!H22)</f>
        <v>14</v>
      </c>
      <c r="H15" s="26">
        <f t="shared" si="0"/>
        <v>580292.86</v>
      </c>
      <c r="I15" s="27">
        <f t="shared" si="1"/>
        <v>0</v>
      </c>
      <c r="J15" s="27">
        <f>Bilanca!I22</f>
        <v>1122203</v>
      </c>
      <c r="K15" s="27">
        <f>Bilanca!J22</f>
        <v>1511373</v>
      </c>
    </row>
    <row r="16" spans="1:11" ht="12.75">
      <c r="A16" s="4" t="s">
        <v>2740</v>
      </c>
      <c r="B16" s="25" t="str">
        <f>TEXT(RefStr!C39,"000")</f>
        <v>520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t="str">
        <f>IF(Bilanca!H24=0,"",Bilanca!H24)</f>
        <v>14</v>
      </c>
      <c r="H17" s="26">
        <f t="shared" si="0"/>
        <v>326234.24</v>
      </c>
      <c r="I17" s="27">
        <f t="shared" si="1"/>
        <v>0</v>
      </c>
      <c r="J17" s="27">
        <f>Bilanca!I24</f>
        <v>0</v>
      </c>
      <c r="K17" s="27">
        <f>Bilanca!J24</f>
        <v>1019482</v>
      </c>
    </row>
    <row r="18" spans="1:11" ht="12.75">
      <c r="A18" s="4" t="s">
        <v>2886</v>
      </c>
      <c r="B18" s="25" t="str">
        <f>IF(RefStr!C21&lt;&gt;"",RefStr!C21,"")</f>
        <v>NE</v>
      </c>
      <c r="D18" s="4" t="s">
        <v>554</v>
      </c>
      <c r="E18" s="4">
        <v>1</v>
      </c>
      <c r="F18" s="4">
        <f>Bilanca!G25</f>
        <v>17</v>
      </c>
      <c r="G18" s="4" t="str">
        <f>IF(Bilanca!H25=0,"",Bilanca!H25)</f>
        <v>14</v>
      </c>
      <c r="H18" s="26">
        <f t="shared" si="0"/>
        <v>11575949.74</v>
      </c>
      <c r="I18" s="27">
        <f t="shared" si="1"/>
        <v>0</v>
      </c>
      <c r="J18" s="27">
        <f>Bilanca!I25</f>
        <v>32408388</v>
      </c>
      <c r="K18" s="27">
        <f>Bilanca!J25</f>
        <v>17842717</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3</v>
      </c>
      <c r="D21" s="4" t="s">
        <v>554</v>
      </c>
      <c r="E21" s="4">
        <v>1</v>
      </c>
      <c r="F21" s="4">
        <f>Bilanca!G28</f>
        <v>20</v>
      </c>
      <c r="G21" s="4">
        <f>IF(Bilanca!H28=0,"",Bilanca!H28)</f>
      </c>
      <c r="H21" s="26">
        <f t="shared" si="0"/>
        <v>160735.8</v>
      </c>
      <c r="I21" s="27">
        <f t="shared" si="1"/>
        <v>0</v>
      </c>
      <c r="J21" s="27">
        <f>Bilanca!I28</f>
        <v>297995</v>
      </c>
      <c r="K21" s="27">
        <f>Bilanca!J28</f>
        <v>252842</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296</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291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220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221</v>
      </c>
      <c r="D28" s="4" t="s">
        <v>554</v>
      </c>
      <c r="E28" s="4">
        <v>1</v>
      </c>
      <c r="F28" s="4">
        <f>Bilanca!G35</f>
        <v>27</v>
      </c>
      <c r="G28" s="4" t="str">
        <f>IF(Bilanca!H35=0,"",Bilanca!H35)</f>
        <v>15</v>
      </c>
      <c r="H28" s="26">
        <f t="shared" si="0"/>
        <v>216993.33</v>
      </c>
      <c r="I28" s="27">
        <f t="shared" si="1"/>
        <v>0</v>
      </c>
      <c r="J28" s="27">
        <f>Bilanca!I35</f>
        <v>297995</v>
      </c>
      <c r="K28" s="27">
        <f>Bilanca!J35</f>
        <v>252842</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5756552.75</v>
      </c>
      <c r="I32" s="27">
        <f t="shared" si="1"/>
        <v>0</v>
      </c>
      <c r="J32" s="27">
        <f>Bilanca!I39</f>
        <v>6945083</v>
      </c>
      <c r="K32" s="27">
        <f>Bilanca!J39</f>
        <v>5812221</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t="str">
        <f>IF(Bilanca!H42=0,"",Bilanca!H42)</f>
        <v>17</v>
      </c>
      <c r="H35" s="26">
        <f t="shared" si="0"/>
        <v>6313638.5</v>
      </c>
      <c r="I35" s="27">
        <f t="shared" si="1"/>
        <v>0</v>
      </c>
      <c r="J35" s="27">
        <f>Bilanca!I42</f>
        <v>6945083</v>
      </c>
      <c r="K35" s="27">
        <f>Bilanca!J42</f>
        <v>5812221</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56121922.27</v>
      </c>
      <c r="I38" s="27">
        <f t="shared" si="1"/>
        <v>0</v>
      </c>
      <c r="J38" s="27">
        <f>Bilanca!I45</f>
        <v>49232667</v>
      </c>
      <c r="K38" s="27">
        <f>Bilanca!J45</f>
        <v>51224102</v>
      </c>
    </row>
    <row r="39" spans="1:11" ht="12.75">
      <c r="A39" s="4" t="s">
        <v>1611</v>
      </c>
      <c r="B39" s="25" t="str">
        <f>RefStr!C68</f>
        <v>Klaudia Stulić, Iva Kolanović</v>
      </c>
      <c r="D39" s="4" t="s">
        <v>554</v>
      </c>
      <c r="E39" s="4">
        <v>1</v>
      </c>
      <c r="F39" s="4">
        <f>Bilanca!G46</f>
        <v>38</v>
      </c>
      <c r="G39" s="4">
        <f>IF(Bilanca!H46=0,"",Bilanca!H46)</f>
      </c>
      <c r="H39" s="26">
        <f t="shared" si="0"/>
        <v>9114412.86</v>
      </c>
      <c r="I39" s="27">
        <f t="shared" si="1"/>
        <v>0</v>
      </c>
      <c r="J39" s="27">
        <f>Bilanca!I46</f>
        <v>7474513</v>
      </c>
      <c r="K39" s="27">
        <f>Bilanca!J46</f>
        <v>8255392</v>
      </c>
    </row>
    <row r="40" spans="1:11" ht="12.75">
      <c r="A40" s="4" t="s">
        <v>1612</v>
      </c>
      <c r="B40" s="25" t="str">
        <f>TRIM(RefStr!C70)</f>
        <v>023/282 926</v>
      </c>
      <c r="D40" s="4" t="s">
        <v>554</v>
      </c>
      <c r="E40" s="4">
        <v>1</v>
      </c>
      <c r="F40" s="4">
        <f>Bilanca!G47</f>
        <v>39</v>
      </c>
      <c r="G40" s="4" t="str">
        <f>IF(Bilanca!H47=0,"",Bilanca!H47)</f>
        <v>16</v>
      </c>
      <c r="H40" s="26">
        <f t="shared" si="0"/>
        <v>9354265.83</v>
      </c>
      <c r="I40" s="27">
        <f t="shared" si="1"/>
        <v>0</v>
      </c>
      <c r="J40" s="27">
        <f>Bilanca!I47</f>
        <v>7474513</v>
      </c>
      <c r="K40" s="27">
        <f>Bilanca!J47</f>
        <v>8255392</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klaudia.stulic@vodovod-zadar.hr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TOMISLAV MATEK, dipl. ing. građ.</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40353615.46</v>
      </c>
      <c r="I47" s="27">
        <f t="shared" si="3"/>
        <v>0</v>
      </c>
      <c r="J47" s="27">
        <f>Bilanca!I54</f>
        <v>29988961</v>
      </c>
      <c r="K47" s="27">
        <f>Bilanca!J54</f>
        <v>28868145</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17</v>
      </c>
      <c r="H50" s="26">
        <f t="shared" si="2"/>
        <v>38555350.12</v>
      </c>
      <c r="I50" s="27">
        <f t="shared" si="3"/>
        <v>0</v>
      </c>
      <c r="J50" s="27">
        <f>Bilanca!I57</f>
        <v>26305756</v>
      </c>
      <c r="K50" s="27">
        <f>Bilanca!J57</f>
        <v>26189316</v>
      </c>
    </row>
    <row r="51" spans="1:11" ht="12.75">
      <c r="A51" s="4" t="s">
        <v>1035</v>
      </c>
      <c r="B51" s="25" t="str">
        <f>RefStr!I60</f>
        <v>DA</v>
      </c>
      <c r="D51" s="4" t="s">
        <v>554</v>
      </c>
      <c r="E51" s="4">
        <v>1</v>
      </c>
      <c r="F51" s="4">
        <f>Bilanca!G58</f>
        <v>50</v>
      </c>
      <c r="G51" s="4" t="str">
        <f>IF(Bilanca!H58=0,"",Bilanca!H58)</f>
        <v>18</v>
      </c>
      <c r="H51" s="26">
        <f t="shared" si="2"/>
        <v>138683.5</v>
      </c>
      <c r="I51" s="27">
        <f t="shared" si="3"/>
        <v>0</v>
      </c>
      <c r="J51" s="27">
        <f>Bilanca!I58</f>
        <v>119663</v>
      </c>
      <c r="K51" s="27">
        <f>Bilanca!J58</f>
        <v>78852</v>
      </c>
    </row>
    <row r="52" spans="1:11" ht="12.75">
      <c r="A52" s="4" t="s">
        <v>1614</v>
      </c>
      <c r="B52" s="25" t="s">
        <v>1237</v>
      </c>
      <c r="D52" s="4" t="s">
        <v>554</v>
      </c>
      <c r="E52" s="4">
        <v>1</v>
      </c>
      <c r="F52" s="4">
        <f>Bilanca!G59</f>
        <v>51</v>
      </c>
      <c r="G52" s="4" t="str">
        <f>IF(Bilanca!H59=0,"",Bilanca!H59)</f>
        <v>18</v>
      </c>
      <c r="H52" s="26">
        <f t="shared" si="2"/>
        <v>491267.70000000007</v>
      </c>
      <c r="I52" s="27">
        <f t="shared" si="3"/>
        <v>0</v>
      </c>
      <c r="J52" s="27">
        <f>Bilanca!I59</f>
        <v>474668</v>
      </c>
      <c r="K52" s="27">
        <f>Bilanca!J59</f>
        <v>244301</v>
      </c>
    </row>
    <row r="53" spans="1:11" ht="12.75">
      <c r="A53" s="4" t="s">
        <v>1301</v>
      </c>
      <c r="B53" s="25" t="str">
        <f>RefStr!I56</f>
        <v>DA</v>
      </c>
      <c r="D53" s="4" t="s">
        <v>554</v>
      </c>
      <c r="E53" s="4">
        <v>1</v>
      </c>
      <c r="F53" s="4">
        <f>Bilanca!G60</f>
        <v>52</v>
      </c>
      <c r="G53" s="4" t="str">
        <f>IF(Bilanca!H60=0,"",Bilanca!H60)</f>
        <v>18</v>
      </c>
      <c r="H53" s="26">
        <f t="shared" si="2"/>
        <v>4056117.52</v>
      </c>
      <c r="I53" s="27">
        <f t="shared" si="3"/>
        <v>0</v>
      </c>
      <c r="J53" s="27">
        <f>Bilanca!I60</f>
        <v>3088874</v>
      </c>
      <c r="K53" s="27">
        <f>Bilanca!J60</f>
        <v>2355676</v>
      </c>
    </row>
    <row r="54" spans="1:11" ht="12.75">
      <c r="A54" s="4" t="s">
        <v>1302</v>
      </c>
      <c r="B54" s="25" t="str">
        <f>RefStr!I62</f>
        <v>DA</v>
      </c>
      <c r="D54" s="4" t="s">
        <v>554</v>
      </c>
      <c r="E54" s="4">
        <v>1</v>
      </c>
      <c r="F54" s="4">
        <f>Bilanca!G61</f>
        <v>53</v>
      </c>
      <c r="G54" s="4">
        <f>IF(Bilanca!H61=0,"",Bilanca!H61)</f>
      </c>
      <c r="H54" s="26">
        <f t="shared" si="2"/>
        <v>7950000</v>
      </c>
      <c r="I54" s="27">
        <f t="shared" si="3"/>
        <v>0</v>
      </c>
      <c r="J54" s="27">
        <f>Bilanca!I61</f>
        <v>5000000</v>
      </c>
      <c r="K54" s="27">
        <f>Bilanca!J61</f>
        <v>5000000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11191519336.220005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t="str">
        <f>IF(Bilanca!H69=0,"",Bilanca!H69)</f>
        <v>19</v>
      </c>
      <c r="H62" s="26">
        <f t="shared" si="2"/>
        <v>9150000</v>
      </c>
      <c r="I62" s="27">
        <f t="shared" si="3"/>
        <v>0</v>
      </c>
      <c r="J62" s="27">
        <f>Bilanca!I69</f>
        <v>5000000</v>
      </c>
      <c r="K62" s="27">
        <f>Bilanca!J69</f>
        <v>5000000</v>
      </c>
    </row>
    <row r="63" spans="1:11" ht="12.75">
      <c r="A63" s="4" t="s">
        <v>614</v>
      </c>
      <c r="B63" s="25" t="str">
        <f>IF(ISNUMBER(VALUE(RefStr!L21)),TEXT(INT(VALUE(RefStr!L21)),"00000000000"),"")</f>
        <v>98910718267</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20</v>
      </c>
      <c r="H64" s="26">
        <f t="shared" si="2"/>
        <v>15731303.489999998</v>
      </c>
      <c r="I64" s="27">
        <f t="shared" si="3"/>
        <v>0</v>
      </c>
      <c r="J64" s="27">
        <f>Bilanca!I71</f>
        <v>6769193</v>
      </c>
      <c r="K64" s="27">
        <f>Bilanca!J71</f>
        <v>9100565</v>
      </c>
    </row>
    <row r="65" spans="1:11" ht="12.75">
      <c r="A65" s="4" t="s">
        <v>923</v>
      </c>
      <c r="B65" s="25" t="str">
        <f>TRIM(RefStr!N19)</f>
        <v>MSFI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1114695931.05</v>
      </c>
      <c r="I66" s="27">
        <f t="shared" si="3"/>
        <v>0</v>
      </c>
      <c r="J66" s="27">
        <f>Bilanca!I73</f>
        <v>570296505</v>
      </c>
      <c r="K66" s="27">
        <f>Bilanca!J73</f>
        <v>572310156</v>
      </c>
    </row>
    <row r="67" spans="1:11" ht="12.75">
      <c r="A67" s="4" t="s">
        <v>925</v>
      </c>
      <c r="B67" s="25" t="str">
        <f>TRIM(RefStr!L35)</f>
        <v>023/282902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t="str">
        <f>IF(Bilanca!H76=0,"",Bilanca!H76)</f>
        <v>21</v>
      </c>
      <c r="H68" s="26">
        <f t="shared" si="2"/>
        <v>316561112.90999997</v>
      </c>
      <c r="I68" s="27">
        <f t="shared" si="3"/>
        <v>0</v>
      </c>
      <c r="J68" s="27">
        <f>Bilanca!I76</f>
        <v>155723895</v>
      </c>
      <c r="K68" s="27">
        <f>Bilanca!J76</f>
        <v>158377689</v>
      </c>
    </row>
    <row r="69" spans="1:11" ht="12.75">
      <c r="A69" s="4" t="s">
        <v>927</v>
      </c>
      <c r="B69" s="25">
        <f>TRIM(RefStr!M46)</f>
      </c>
      <c r="D69" s="4" t="s">
        <v>554</v>
      </c>
      <c r="E69" s="4">
        <v>1</v>
      </c>
      <c r="F69" s="4">
        <f>Bilanca!G77</f>
        <v>68</v>
      </c>
      <c r="G69" s="4" t="str">
        <f>IF(Bilanca!H77=0,"",Bilanca!H77)</f>
        <v>21</v>
      </c>
      <c r="H69" s="26">
        <f t="shared" si="2"/>
        <v>325346952</v>
      </c>
      <c r="I69" s="27">
        <f t="shared" si="3"/>
        <v>0</v>
      </c>
      <c r="J69" s="27">
        <f>Bilanca!I77</f>
        <v>159483800</v>
      </c>
      <c r="K69" s="27">
        <f>Bilanca!J77</f>
        <v>159483800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-5843022.380000001</v>
      </c>
      <c r="I84" s="27">
        <f t="shared" si="3"/>
        <v>0</v>
      </c>
      <c r="J84" s="27">
        <f>Bilanca!I92</f>
        <v>480024</v>
      </c>
      <c r="K84" s="27">
        <f>Bilanca!J92</f>
        <v>-3759905</v>
      </c>
    </row>
    <row r="85" spans="4:11" ht="12.75">
      <c r="D85" s="4" t="s">
        <v>554</v>
      </c>
      <c r="E85" s="4">
        <v>1</v>
      </c>
      <c r="F85" s="4">
        <f>Bilanca!G93</f>
        <v>84</v>
      </c>
      <c r="G85" s="4" t="str">
        <f>IF(Bilanca!H93=0,"",Bilanca!H93)</f>
        <v>21</v>
      </c>
      <c r="H85" s="26">
        <f t="shared" si="2"/>
        <v>403220.16</v>
      </c>
      <c r="I85" s="27">
        <f t="shared" si="3"/>
        <v>0</v>
      </c>
      <c r="J85" s="27">
        <f>Bilanca!I93</f>
        <v>480024</v>
      </c>
      <c r="K85" s="27">
        <f>Bilanca!J93</f>
        <v>0</v>
      </c>
    </row>
    <row r="86" spans="4:11" ht="12.75">
      <c r="D86" s="4" t="s">
        <v>554</v>
      </c>
      <c r="E86" s="4">
        <v>1</v>
      </c>
      <c r="F86" s="4">
        <f>Bilanca!G94</f>
        <v>85</v>
      </c>
      <c r="G86" s="4" t="str">
        <f>IF(Bilanca!H94=0,"",Bilanca!H94)</f>
        <v>21</v>
      </c>
      <c r="H86" s="26">
        <f t="shared" si="2"/>
        <v>6391838.500000001</v>
      </c>
      <c r="I86" s="27">
        <f t="shared" si="3"/>
        <v>0</v>
      </c>
      <c r="J86" s="27">
        <f>Bilanca!I94</f>
        <v>0</v>
      </c>
      <c r="K86" s="27">
        <f>Bilanca!J94</f>
        <v>3759905</v>
      </c>
    </row>
    <row r="87" spans="4:11" ht="12.75">
      <c r="D87" s="4" t="s">
        <v>554</v>
      </c>
      <c r="E87" s="4">
        <v>1</v>
      </c>
      <c r="F87" s="4">
        <f>Bilanca!G95</f>
        <v>86</v>
      </c>
      <c r="G87" s="4">
        <f>IF(Bilanca!H95=0,"",Bilanca!H95)</f>
      </c>
      <c r="H87" s="26">
        <f>J87/100*F87+2*K87/100*F87</f>
        <v>918186.7399999998</v>
      </c>
      <c r="I87" s="27">
        <f>ABS(ROUND(J87,0)-J87)+ABS(ROUND(K87,0)-K87)</f>
        <v>0</v>
      </c>
      <c r="J87" s="27">
        <f>Bilanca!I95</f>
        <v>-4239929</v>
      </c>
      <c r="K87" s="27">
        <f>Bilanca!J95</f>
        <v>2653794</v>
      </c>
    </row>
    <row r="88" spans="4:11" ht="12.75">
      <c r="D88" s="4" t="s">
        <v>554</v>
      </c>
      <c r="E88" s="4">
        <v>1</v>
      </c>
      <c r="F88" s="4">
        <f>Bilanca!G96</f>
        <v>87</v>
      </c>
      <c r="G88" s="4" t="str">
        <f>IF(Bilanca!H96=0,"",Bilanca!H96)</f>
        <v>21</v>
      </c>
      <c r="H88" s="26">
        <f>J88/100*F88+2*K88/100*F88</f>
        <v>4617601.56</v>
      </c>
      <c r="I88" s="27">
        <f>ABS(ROUND(J88,0)-J88)+ABS(ROUND(K88,0)-K88)</f>
        <v>0</v>
      </c>
      <c r="J88" s="27">
        <f>Bilanca!I96</f>
        <v>0</v>
      </c>
      <c r="K88" s="27">
        <f>Bilanca!J96</f>
        <v>2653794</v>
      </c>
    </row>
    <row r="89" spans="4:11" ht="12.75">
      <c r="D89" s="4" t="s">
        <v>554</v>
      </c>
      <c r="E89" s="4">
        <v>1</v>
      </c>
      <c r="F89" s="4">
        <f>Bilanca!G97</f>
        <v>88</v>
      </c>
      <c r="G89" s="4" t="str">
        <f>IF(Bilanca!H97=0,"",Bilanca!H97)</f>
        <v>21</v>
      </c>
      <c r="H89" s="26">
        <f aca="true" t="shared" si="4" ref="H89:H129">J89/100*F89+2*K89/100*F89</f>
        <v>3731137.52</v>
      </c>
      <c r="I89" s="27">
        <f aca="true" t="shared" si="5" ref="I89:I129">ABS(ROUND(J89,0)-J89)+ABS(ROUND(K89,0)-K89)</f>
        <v>0</v>
      </c>
      <c r="J89" s="27">
        <f>Bilanca!I97</f>
        <v>4239929</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2663057.7</v>
      </c>
      <c r="I91" s="27">
        <f t="shared" si="5"/>
        <v>0</v>
      </c>
      <c r="J91" s="27">
        <f>Bilanca!I99</f>
        <v>1597877</v>
      </c>
      <c r="K91" s="27">
        <f>Bilanca!J99</f>
        <v>680538</v>
      </c>
    </row>
    <row r="92" spans="4:11" ht="12.75">
      <c r="D92" s="4" t="s">
        <v>554</v>
      </c>
      <c r="E92" s="4">
        <v>1</v>
      </c>
      <c r="F92" s="4">
        <f>Bilanca!G100</f>
        <v>91</v>
      </c>
      <c r="G92" s="4" t="str">
        <f>IF(Bilanca!H100=0,"",Bilanca!H100)</f>
        <v>10</v>
      </c>
      <c r="H92" s="26">
        <f t="shared" si="4"/>
        <v>2398388.7199999997</v>
      </c>
      <c r="I92" s="27">
        <f t="shared" si="5"/>
        <v>0</v>
      </c>
      <c r="J92" s="27">
        <f>Bilanca!I100</f>
        <v>1274516</v>
      </c>
      <c r="K92" s="27">
        <f>Bilanca!J100</f>
        <v>680538</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t="str">
        <f>IF(Bilanca!H102=0,"",Bilanca!H102)</f>
        <v>10</v>
      </c>
      <c r="H94" s="26">
        <f t="shared" si="4"/>
        <v>300725.73000000004</v>
      </c>
      <c r="I94" s="27">
        <f t="shared" si="5"/>
        <v>0</v>
      </c>
      <c r="J94" s="27">
        <f>Bilanca!I102</f>
        <v>323361</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3353850.6599999997</v>
      </c>
      <c r="I98" s="27">
        <f t="shared" si="5"/>
        <v>0</v>
      </c>
      <c r="J98" s="27">
        <f>Bilanca!I106</f>
        <v>487752</v>
      </c>
      <c r="K98" s="27">
        <f>Bilanca!J106</f>
        <v>1484913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t="str">
        <f>IF(Bilanca!H112=0,"",Bilanca!H112)</f>
        <v>22</v>
      </c>
      <c r="H104" s="26">
        <f t="shared" si="4"/>
        <v>3561305.34</v>
      </c>
      <c r="I104" s="27">
        <f t="shared" si="5"/>
        <v>0</v>
      </c>
      <c r="J104" s="27">
        <f>Bilanca!I112</f>
        <v>487752</v>
      </c>
      <c r="K104" s="27">
        <f>Bilanca!J112</f>
        <v>1484913</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65103721.650000006</v>
      </c>
      <c r="I110" s="27">
        <f t="shared" si="5"/>
        <v>0</v>
      </c>
      <c r="J110" s="27">
        <f>Bilanca!I118</f>
        <v>20765889</v>
      </c>
      <c r="K110" s="27">
        <f>Bilanca!J118</f>
        <v>19481148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t="str">
        <f>IF(Bilanca!H124=0,"",Bilanca!H124)</f>
        <v>22/23</v>
      </c>
      <c r="H116" s="26">
        <f t="shared" si="4"/>
        <v>1905065.85</v>
      </c>
      <c r="I116" s="27">
        <f t="shared" si="5"/>
        <v>0</v>
      </c>
      <c r="J116" s="27">
        <f>Bilanca!I124</f>
        <v>383545</v>
      </c>
      <c r="K116" s="27">
        <f>Bilanca!J124</f>
        <v>636517</v>
      </c>
    </row>
    <row r="117" spans="4:11" ht="12.75">
      <c r="D117" s="4" t="s">
        <v>554</v>
      </c>
      <c r="E117" s="4">
        <v>1</v>
      </c>
      <c r="F117" s="4">
        <f>Bilanca!G125</f>
        <v>116</v>
      </c>
      <c r="G117" s="4" t="str">
        <f>IF(Bilanca!H125=0,"",Bilanca!H125)</f>
        <v>25</v>
      </c>
      <c r="H117" s="26">
        <f t="shared" si="4"/>
        <v>6106336.28</v>
      </c>
      <c r="I117" s="27">
        <f t="shared" si="5"/>
        <v>0</v>
      </c>
      <c r="J117" s="27">
        <f>Bilanca!I125</f>
        <v>1877911</v>
      </c>
      <c r="K117" s="27">
        <f>Bilanca!J125</f>
        <v>1693086</v>
      </c>
    </row>
    <row r="118" spans="4:11" ht="12.75">
      <c r="D118" s="4" t="s">
        <v>554</v>
      </c>
      <c r="E118" s="4">
        <v>1</v>
      </c>
      <c r="F118" s="4">
        <f>Bilanca!G126</f>
        <v>117</v>
      </c>
      <c r="G118" s="4" t="str">
        <f>IF(Bilanca!H126=0,"",Bilanca!H126)</f>
        <v>24</v>
      </c>
      <c r="H118" s="26">
        <f t="shared" si="4"/>
        <v>21754274.49</v>
      </c>
      <c r="I118" s="27">
        <f t="shared" si="5"/>
        <v>0</v>
      </c>
      <c r="J118" s="27">
        <f>Bilanca!I126</f>
        <v>6007363</v>
      </c>
      <c r="K118" s="27">
        <f>Bilanca!J126</f>
        <v>6293017</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25</v>
      </c>
      <c r="H120" s="26">
        <f t="shared" si="4"/>
        <v>5830967.87</v>
      </c>
      <c r="I120" s="27">
        <f t="shared" si="5"/>
        <v>0</v>
      </c>
      <c r="J120" s="27">
        <f>Bilanca!I128</f>
        <v>1685023</v>
      </c>
      <c r="K120" s="27">
        <f>Bilanca!J128</f>
        <v>1607475</v>
      </c>
    </row>
    <row r="121" spans="4:11" ht="12.75">
      <c r="D121" s="4" t="s">
        <v>554</v>
      </c>
      <c r="E121" s="4">
        <v>1</v>
      </c>
      <c r="F121" s="4">
        <f>Bilanca!G129</f>
        <v>120</v>
      </c>
      <c r="G121" s="4" t="str">
        <f>IF(Bilanca!H129=0,"",Bilanca!H129)</f>
        <v>25</v>
      </c>
      <c r="H121" s="26">
        <f t="shared" si="4"/>
        <v>3160864.8</v>
      </c>
      <c r="I121" s="27">
        <f t="shared" si="5"/>
        <v>0</v>
      </c>
      <c r="J121" s="27">
        <f>Bilanca!I129</f>
        <v>905062</v>
      </c>
      <c r="K121" s="27">
        <f>Bilanca!J129</f>
        <v>864496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25</v>
      </c>
      <c r="H124" s="26">
        <f t="shared" si="4"/>
        <v>32816521.770000003</v>
      </c>
      <c r="I124" s="27">
        <f t="shared" si="5"/>
        <v>0</v>
      </c>
      <c r="J124" s="27">
        <f>Bilanca!I132</f>
        <v>9906985</v>
      </c>
      <c r="K124" s="27">
        <f>Bilanca!J132</f>
        <v>8386557</v>
      </c>
    </row>
    <row r="125" spans="4:11" ht="12.75">
      <c r="D125" s="4" t="s">
        <v>554</v>
      </c>
      <c r="E125" s="4">
        <v>1</v>
      </c>
      <c r="F125" s="4">
        <f>Bilanca!G133</f>
        <v>124</v>
      </c>
      <c r="G125" s="4" t="str">
        <f>IF(Bilanca!H133=0,"",Bilanca!H133)</f>
        <v>26</v>
      </c>
      <c r="H125" s="26">
        <f t="shared" si="4"/>
        <v>1458603106.72</v>
      </c>
      <c r="I125" s="27">
        <f t="shared" si="5"/>
        <v>0</v>
      </c>
      <c r="J125" s="27">
        <f>Bilanca!I133</f>
        <v>391721092</v>
      </c>
      <c r="K125" s="27">
        <f>Bilanca!J133</f>
        <v>392285868</v>
      </c>
    </row>
    <row r="126" spans="4:11" ht="12.75">
      <c r="D126" s="4" t="s">
        <v>554</v>
      </c>
      <c r="E126" s="4">
        <v>1</v>
      </c>
      <c r="F126" s="4">
        <f>Bilanca!G134</f>
        <v>125</v>
      </c>
      <c r="G126" s="4">
        <f>IF(Bilanca!H134=0,"",Bilanca!H134)</f>
      </c>
      <c r="H126" s="26">
        <f t="shared" si="4"/>
        <v>2143646021.25</v>
      </c>
      <c r="I126" s="27">
        <f t="shared" si="5"/>
        <v>0</v>
      </c>
      <c r="J126" s="27">
        <f>Bilanca!I134</f>
        <v>570296505</v>
      </c>
      <c r="K126" s="27">
        <f>Bilanca!J134</f>
        <v>572310156</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332419366.90999997</v>
      </c>
      <c r="I128" s="4">
        <f t="shared" si="5"/>
        <v>0</v>
      </c>
      <c r="J128" s="27">
        <f>RDG!I8</f>
        <v>82533875</v>
      </c>
      <c r="K128" s="27">
        <f>RDG!J8</f>
        <v>89606829</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6</v>
      </c>
      <c r="H130" s="26">
        <f aca="true" t="shared" si="6" ref="H130:H192">J130/100*F130+2*K130/100*F130</f>
        <v>238577215.62</v>
      </c>
      <c r="I130" s="4">
        <f aca="true" t="shared" si="7" ref="I130:I192">ABS(ROUND(J130,0)-J130)+ABS(ROUND(K130,0)-K130)</f>
        <v>0</v>
      </c>
      <c r="J130" s="27">
        <f>RDG!I10</f>
        <v>57815574</v>
      </c>
      <c r="K130" s="27">
        <f>RDG!J10</f>
        <v>63564002</v>
      </c>
    </row>
    <row r="131" spans="4:11" ht="12.75">
      <c r="D131" s="4" t="s">
        <v>794</v>
      </c>
      <c r="E131" s="4">
        <v>2</v>
      </c>
      <c r="F131" s="4">
        <f>RDG!G11</f>
        <v>130</v>
      </c>
      <c r="G131" s="4" t="str">
        <f>IF(RDG!H11=0,"",RDG!H11)</f>
        <v>7</v>
      </c>
      <c r="H131" s="26">
        <f t="shared" si="6"/>
        <v>8065115.5</v>
      </c>
      <c r="I131" s="4">
        <f t="shared" si="7"/>
        <v>0</v>
      </c>
      <c r="J131" s="27">
        <f>RDG!I11</f>
        <v>1856415</v>
      </c>
      <c r="K131" s="27">
        <f>RDG!J11</f>
        <v>2173760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7</v>
      </c>
      <c r="H133" s="26">
        <f t="shared" si="6"/>
        <v>93192026.4</v>
      </c>
      <c r="I133" s="4">
        <f t="shared" si="7"/>
        <v>0</v>
      </c>
      <c r="J133" s="27">
        <f>RDG!I13</f>
        <v>22861886</v>
      </c>
      <c r="K133" s="27">
        <f>RDG!J13</f>
        <v>23869067</v>
      </c>
    </row>
    <row r="134" spans="4:11" ht="12.75">
      <c r="D134" s="4" t="s">
        <v>794</v>
      </c>
      <c r="E134" s="4">
        <v>2</v>
      </c>
      <c r="F134" s="4">
        <f>RDG!G14</f>
        <v>133</v>
      </c>
      <c r="G134" s="4">
        <f>IF(RDG!H14=0,"",RDG!H14)</f>
      </c>
      <c r="H134" s="26">
        <f t="shared" si="6"/>
        <v>349114910.62</v>
      </c>
      <c r="I134" s="4">
        <f t="shared" si="7"/>
        <v>0</v>
      </c>
      <c r="J134" s="27">
        <f>RDG!I14</f>
        <v>87327530</v>
      </c>
      <c r="K134" s="27">
        <f>RDG!J14</f>
        <v>87582442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138400550.1</v>
      </c>
      <c r="I136" s="4">
        <f t="shared" si="7"/>
        <v>0</v>
      </c>
      <c r="J136" s="27">
        <f>RDG!I16</f>
        <v>33549898</v>
      </c>
      <c r="K136" s="27">
        <f>RDG!J16</f>
        <v>34484514</v>
      </c>
    </row>
    <row r="137" spans="4:11" ht="12.75">
      <c r="D137" s="4" t="s">
        <v>794</v>
      </c>
      <c r="E137" s="4">
        <v>2</v>
      </c>
      <c r="F137" s="4">
        <f>RDG!G17</f>
        <v>136</v>
      </c>
      <c r="G137" s="4" t="str">
        <f>IF(RDG!H17=0,"",RDG!H17)</f>
        <v>8</v>
      </c>
      <c r="H137" s="26">
        <f t="shared" si="6"/>
        <v>100839818</v>
      </c>
      <c r="I137" s="4">
        <f t="shared" si="7"/>
        <v>0</v>
      </c>
      <c r="J137" s="27">
        <f>RDG!I17</f>
        <v>24090535</v>
      </c>
      <c r="K137" s="27">
        <f>RDG!J17</f>
        <v>25028195</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t="str">
        <f>IF(RDG!H19=0,"",RDG!H19)</f>
        <v>8</v>
      </c>
      <c r="H139" s="26">
        <f t="shared" si="6"/>
        <v>39153361.38</v>
      </c>
      <c r="I139" s="4">
        <f t="shared" si="7"/>
        <v>0</v>
      </c>
      <c r="J139" s="27">
        <f>RDG!I19</f>
        <v>9459363</v>
      </c>
      <c r="K139" s="27">
        <f>RDG!J19</f>
        <v>9456319</v>
      </c>
    </row>
    <row r="140" spans="4:11" ht="12.75">
      <c r="D140" s="4" t="s">
        <v>794</v>
      </c>
      <c r="E140" s="4">
        <v>2</v>
      </c>
      <c r="F140" s="4">
        <f>RDG!G20</f>
        <v>139</v>
      </c>
      <c r="G140" s="4">
        <f>IF(RDG!H20=0,"",RDG!H20)</f>
      </c>
      <c r="H140" s="26">
        <f t="shared" si="6"/>
        <v>129386537.6</v>
      </c>
      <c r="I140" s="4">
        <f t="shared" si="7"/>
        <v>0</v>
      </c>
      <c r="J140" s="27">
        <f>RDG!I20</f>
        <v>31487594</v>
      </c>
      <c r="K140" s="27">
        <f>RDG!J20</f>
        <v>30798123</v>
      </c>
    </row>
    <row r="141" spans="4:11" ht="12.75">
      <c r="D141" s="4" t="s">
        <v>794</v>
      </c>
      <c r="E141" s="4">
        <v>2</v>
      </c>
      <c r="F141" s="4">
        <f>RDG!G21</f>
        <v>140</v>
      </c>
      <c r="G141" s="4" t="str">
        <f>IF(RDG!H21=0,"",RDG!H21)</f>
        <v>9</v>
      </c>
      <c r="H141" s="26">
        <f t="shared" si="6"/>
        <v>90552887.6</v>
      </c>
      <c r="I141" s="4">
        <f t="shared" si="7"/>
        <v>0</v>
      </c>
      <c r="J141" s="27">
        <f>RDG!I21</f>
        <v>21569540</v>
      </c>
      <c r="K141" s="27">
        <f>RDG!J21</f>
        <v>21555547</v>
      </c>
    </row>
    <row r="142" spans="4:11" ht="12.75">
      <c r="D142" s="4" t="s">
        <v>794</v>
      </c>
      <c r="E142" s="4">
        <v>2</v>
      </c>
      <c r="F142" s="4">
        <f>RDG!G22</f>
        <v>141</v>
      </c>
      <c r="G142" s="4" t="str">
        <f>IF(RDG!H22=0,"",RDG!H22)</f>
        <v>9</v>
      </c>
      <c r="H142" s="26">
        <f t="shared" si="6"/>
        <v>24163416.75</v>
      </c>
      <c r="I142" s="4">
        <f t="shared" si="7"/>
        <v>0</v>
      </c>
      <c r="J142" s="27">
        <f>RDG!I22</f>
        <v>6049277</v>
      </c>
      <c r="K142" s="27">
        <f>RDG!J22</f>
        <v>5543949</v>
      </c>
    </row>
    <row r="143" spans="4:11" ht="12.75">
      <c r="D143" s="4" t="s">
        <v>794</v>
      </c>
      <c r="E143" s="4">
        <v>2</v>
      </c>
      <c r="F143" s="4">
        <f>RDG!G23</f>
        <v>142</v>
      </c>
      <c r="G143" s="4" t="str">
        <f>IF(RDG!H23=0,"",RDG!H23)</f>
        <v>9</v>
      </c>
      <c r="H143" s="26">
        <f t="shared" si="6"/>
        <v>15997764.02</v>
      </c>
      <c r="I143" s="4">
        <f t="shared" si="7"/>
        <v>0</v>
      </c>
      <c r="J143" s="27">
        <f>RDG!I23</f>
        <v>3868777</v>
      </c>
      <c r="K143" s="27">
        <f>RDG!J23</f>
        <v>3698627</v>
      </c>
    </row>
    <row r="144" spans="4:11" ht="12.75">
      <c r="D144" s="4" t="s">
        <v>794</v>
      </c>
      <c r="E144" s="4">
        <v>2</v>
      </c>
      <c r="F144" s="4">
        <f>RDG!G24</f>
        <v>143</v>
      </c>
      <c r="G144" s="4">
        <f>IF(RDG!H24=0,"",RDG!H24)</f>
      </c>
      <c r="H144" s="26">
        <f t="shared" si="6"/>
        <v>77508642.64</v>
      </c>
      <c r="I144" s="4">
        <f t="shared" si="7"/>
        <v>0</v>
      </c>
      <c r="J144" s="27">
        <f>RDG!I24</f>
        <v>17591280</v>
      </c>
      <c r="K144" s="27">
        <f>RDG!J24</f>
        <v>18305284</v>
      </c>
    </row>
    <row r="145" spans="4:11" ht="12.75">
      <c r="D145" s="4" t="s">
        <v>794</v>
      </c>
      <c r="E145" s="4">
        <v>2</v>
      </c>
      <c r="F145" s="4">
        <f>RDG!G25</f>
        <v>144</v>
      </c>
      <c r="G145" s="4" t="str">
        <f>IF(RDG!H25=0,"",RDG!H25)</f>
        <v>10</v>
      </c>
      <c r="H145" s="26">
        <f t="shared" si="6"/>
        <v>8816487.84</v>
      </c>
      <c r="I145" s="4">
        <f t="shared" si="7"/>
        <v>0</v>
      </c>
      <c r="J145" s="27">
        <f>RDG!I25</f>
        <v>1885379</v>
      </c>
      <c r="K145" s="27">
        <f>RDG!J25</f>
        <v>2118591</v>
      </c>
    </row>
    <row r="146" spans="4:11" ht="12.75">
      <c r="D146" s="4" t="s">
        <v>794</v>
      </c>
      <c r="E146" s="4">
        <v>2</v>
      </c>
      <c r="F146" s="4">
        <f>RDG!G26</f>
        <v>145</v>
      </c>
      <c r="G146" s="4">
        <f>IF(RDG!H26=0,"",RDG!H26)</f>
      </c>
      <c r="H146" s="26">
        <f t="shared" si="6"/>
        <v>3713384.75</v>
      </c>
      <c r="I146" s="4">
        <f t="shared" si="7"/>
        <v>0</v>
      </c>
      <c r="J146" s="27">
        <f>RDG!I26</f>
        <v>1030289</v>
      </c>
      <c r="K146" s="27">
        <f>RDG!J26</f>
        <v>765333</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t="str">
        <f>IF(RDG!H28=0,"",RDG!H28)</f>
        <v>10</v>
      </c>
      <c r="H148" s="26">
        <f t="shared" si="6"/>
        <v>3764603.8499999996</v>
      </c>
      <c r="I148" s="4">
        <f t="shared" si="7"/>
        <v>0</v>
      </c>
      <c r="J148" s="27">
        <f>RDG!I28</f>
        <v>1030289</v>
      </c>
      <c r="K148" s="27">
        <f>RDG!J28</f>
        <v>765333</v>
      </c>
    </row>
    <row r="149" spans="4:11" ht="12.75">
      <c r="D149" s="4" t="s">
        <v>794</v>
      </c>
      <c r="E149" s="4">
        <v>2</v>
      </c>
      <c r="F149" s="4">
        <f>RDG!G29</f>
        <v>148</v>
      </c>
      <c r="G149" s="4">
        <f>IF(RDG!H29=0,"",RDG!H29)</f>
      </c>
      <c r="H149" s="26">
        <f t="shared" si="6"/>
        <v>4379250.4399999995</v>
      </c>
      <c r="I149" s="4">
        <f t="shared" si="7"/>
        <v>0</v>
      </c>
      <c r="J149" s="27">
        <f>RDG!I29</f>
        <v>1597877</v>
      </c>
      <c r="K149" s="27">
        <f>RDG!J29</f>
        <v>680538</v>
      </c>
    </row>
    <row r="150" spans="4:11" ht="12.75">
      <c r="D150" s="4" t="s">
        <v>794</v>
      </c>
      <c r="E150" s="4">
        <v>2</v>
      </c>
      <c r="F150" s="4">
        <f>RDG!G30</f>
        <v>149</v>
      </c>
      <c r="G150" s="4" t="str">
        <f>IF(RDG!H30=0,"",RDG!H30)</f>
        <v>10</v>
      </c>
      <c r="H150" s="26">
        <f t="shared" si="6"/>
        <v>3927032.08</v>
      </c>
      <c r="I150" s="4">
        <f t="shared" si="7"/>
        <v>0</v>
      </c>
      <c r="J150" s="27">
        <f>RDG!I30</f>
        <v>1274516</v>
      </c>
      <c r="K150" s="27">
        <f>RDG!J30</f>
        <v>680538</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t="str">
        <f>IF(RDG!H32=0,"",RDG!H32)</f>
        <v>10</v>
      </c>
      <c r="H152" s="26">
        <f t="shared" si="6"/>
        <v>488275.11000000004</v>
      </c>
      <c r="I152" s="4">
        <f t="shared" si="7"/>
        <v>0</v>
      </c>
      <c r="J152" s="27">
        <f>RDG!I32</f>
        <v>323361</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10</v>
      </c>
      <c r="H156" s="26">
        <f t="shared" si="6"/>
        <v>1620263.0500000003</v>
      </c>
      <c r="I156" s="4">
        <f t="shared" si="7"/>
        <v>0</v>
      </c>
      <c r="J156" s="27">
        <f>RDG!I36</f>
        <v>185213</v>
      </c>
      <c r="K156" s="27">
        <f>RDG!J36</f>
        <v>430059</v>
      </c>
    </row>
    <row r="157" spans="4:11" ht="12.75">
      <c r="D157" s="4" t="s">
        <v>794</v>
      </c>
      <c r="E157" s="4">
        <v>2</v>
      </c>
      <c r="F157" s="4">
        <f>RDG!G37</f>
        <v>156</v>
      </c>
      <c r="G157" s="4">
        <f>IF(RDG!H37=0,"",RDG!H37)</f>
      </c>
      <c r="H157" s="26">
        <f t="shared" si="6"/>
        <v>3448131.96</v>
      </c>
      <c r="I157" s="4">
        <f t="shared" si="7"/>
        <v>0</v>
      </c>
      <c r="J157" s="27">
        <f>RDG!I37</f>
        <v>747739</v>
      </c>
      <c r="K157" s="27">
        <f>RDG!J37</f>
        <v>731301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t="str">
        <f>IF(RDG!H44=0,"",RDG!H44)</f>
        <v>11</v>
      </c>
      <c r="H164" s="26">
        <f t="shared" si="6"/>
        <v>3602855.83</v>
      </c>
      <c r="I164" s="4">
        <f t="shared" si="7"/>
        <v>0</v>
      </c>
      <c r="J164" s="27">
        <f>RDG!I44</f>
        <v>747739</v>
      </c>
      <c r="K164" s="27">
        <f>RDG!J44</f>
        <v>731301</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664327.67</v>
      </c>
      <c r="I168" s="4">
        <f t="shared" si="7"/>
        <v>0</v>
      </c>
      <c r="J168" s="27">
        <f>RDG!I48</f>
        <v>194013</v>
      </c>
      <c r="K168" s="27">
        <f>RDG!J48</f>
        <v>101894</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t="str">
        <f>IF(RDG!H51=0,"",RDG!H51)</f>
        <v>12</v>
      </c>
      <c r="H171" s="26">
        <f t="shared" si="6"/>
        <v>260525</v>
      </c>
      <c r="I171" s="4">
        <f t="shared" si="7"/>
        <v>0</v>
      </c>
      <c r="J171" s="27">
        <f>RDG!I51</f>
        <v>45882</v>
      </c>
      <c r="K171" s="27">
        <f>RDG!J51</f>
        <v>53684</v>
      </c>
    </row>
    <row r="172" spans="4:11" ht="12.75">
      <c r="D172" s="4" t="s">
        <v>794</v>
      </c>
      <c r="E172" s="4">
        <v>2</v>
      </c>
      <c r="F172" s="4">
        <f>RDG!G52</f>
        <v>171</v>
      </c>
      <c r="G172" s="4" t="str">
        <f>IF(RDG!H52=0,"",RDG!H52)</f>
        <v>12</v>
      </c>
      <c r="H172" s="26">
        <f t="shared" si="6"/>
        <v>38820.42</v>
      </c>
      <c r="I172" s="4">
        <f t="shared" si="7"/>
        <v>0</v>
      </c>
      <c r="J172" s="27">
        <f>RDG!I52</f>
        <v>16590</v>
      </c>
      <c r="K172" s="27">
        <f>RDG!J52</f>
        <v>3056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t="str">
        <f>IF(RDG!H54=0,"",RDG!H54)</f>
        <v>12</v>
      </c>
      <c r="H174" s="26">
        <f t="shared" si="6"/>
        <v>383798.77</v>
      </c>
      <c r="I174" s="4">
        <f t="shared" si="7"/>
        <v>0</v>
      </c>
      <c r="J174" s="27">
        <f>RDG!I54</f>
        <v>131541</v>
      </c>
      <c r="K174" s="27">
        <f>RDG!J54</f>
        <v>45154</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472484594.46000004</v>
      </c>
      <c r="I180" s="4">
        <f t="shared" si="7"/>
        <v>0</v>
      </c>
      <c r="J180" s="27">
        <f>RDG!I60</f>
        <v>83281614</v>
      </c>
      <c r="K180" s="27">
        <f>RDG!J60</f>
        <v>90338130</v>
      </c>
    </row>
    <row r="181" spans="4:11" ht="12.75">
      <c r="D181" s="4" t="s">
        <v>794</v>
      </c>
      <c r="E181" s="4">
        <v>2</v>
      </c>
      <c r="F181" s="4">
        <f>RDG!G61</f>
        <v>180</v>
      </c>
      <c r="G181" s="4">
        <f>IF(RDG!H61=0,"",RDG!H61)</f>
      </c>
      <c r="H181" s="26">
        <f t="shared" si="6"/>
        <v>473202387</v>
      </c>
      <c r="I181" s="4">
        <f t="shared" si="7"/>
        <v>0</v>
      </c>
      <c r="J181" s="27">
        <f>RDG!I61</f>
        <v>87521543</v>
      </c>
      <c r="K181" s="27">
        <f>RDG!J61</f>
        <v>87684336</v>
      </c>
    </row>
    <row r="182" spans="4:11" ht="12.75">
      <c r="D182" s="4" t="s">
        <v>794</v>
      </c>
      <c r="E182" s="4">
        <v>2</v>
      </c>
      <c r="F182" s="4">
        <f>RDG!G62</f>
        <v>181</v>
      </c>
      <c r="G182" s="4" t="str">
        <f>IF(RDG!H62=0,"",RDG!H62)</f>
        <v>13</v>
      </c>
      <c r="H182" s="26">
        <f t="shared" si="6"/>
        <v>1932462.789999999</v>
      </c>
      <c r="I182" s="4">
        <f t="shared" si="7"/>
        <v>0</v>
      </c>
      <c r="J182" s="27">
        <f>RDG!I62</f>
        <v>-4239929</v>
      </c>
      <c r="K182" s="27">
        <f>RDG!J62</f>
        <v>2653794</v>
      </c>
    </row>
    <row r="183" spans="4:11" ht="12.75">
      <c r="D183" s="4" t="s">
        <v>794</v>
      </c>
      <c r="E183" s="4">
        <v>2</v>
      </c>
      <c r="F183" s="4">
        <f>RDG!G63</f>
        <v>182</v>
      </c>
      <c r="G183" s="4">
        <f>IF(RDG!H63=0,"",RDG!H63)</f>
      </c>
      <c r="H183" s="26">
        <f t="shared" si="6"/>
        <v>9659810.16</v>
      </c>
      <c r="I183" s="4">
        <f t="shared" si="7"/>
        <v>0</v>
      </c>
      <c r="J183" s="27">
        <f>RDG!I63</f>
        <v>0</v>
      </c>
      <c r="K183" s="27">
        <f>RDG!J63</f>
        <v>2653794</v>
      </c>
    </row>
    <row r="184" spans="4:11" ht="12.75">
      <c r="D184" s="4" t="s">
        <v>794</v>
      </c>
      <c r="E184" s="4">
        <v>2</v>
      </c>
      <c r="F184" s="4">
        <f>RDG!G64</f>
        <v>183</v>
      </c>
      <c r="G184" s="4">
        <f>IF(RDG!H64=0,"",RDG!H64)</f>
      </c>
      <c r="H184" s="26">
        <f t="shared" si="6"/>
        <v>7759070.07</v>
      </c>
      <c r="I184" s="4">
        <f t="shared" si="7"/>
        <v>0</v>
      </c>
      <c r="J184" s="27">
        <f>RDG!I64</f>
        <v>4239929</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t="str">
        <f>IF(RDG!H66=0,"",RDG!H66)</f>
        <v>13</v>
      </c>
      <c r="H186" s="26">
        <f t="shared" si="6"/>
        <v>1975169.1499999985</v>
      </c>
      <c r="I186" s="4">
        <f t="shared" si="7"/>
        <v>0</v>
      </c>
      <c r="J186" s="27">
        <f>RDG!I66</f>
        <v>-4239929</v>
      </c>
      <c r="K186" s="27">
        <f>RDG!J66</f>
        <v>2653794</v>
      </c>
    </row>
    <row r="187" spans="4:11" ht="12.75">
      <c r="D187" s="4" t="s">
        <v>794</v>
      </c>
      <c r="E187" s="4">
        <v>2</v>
      </c>
      <c r="F187" s="4">
        <f>RDG!G67</f>
        <v>186</v>
      </c>
      <c r="G187" s="4">
        <f>IF(RDG!H67=0,"",RDG!H67)</f>
      </c>
      <c r="H187" s="26">
        <f t="shared" si="6"/>
        <v>9872113.68</v>
      </c>
      <c r="I187" s="4">
        <f t="shared" si="7"/>
        <v>0</v>
      </c>
      <c r="J187" s="27">
        <f>RDG!I67</f>
        <v>0</v>
      </c>
      <c r="K187" s="27">
        <f>RDG!J67</f>
        <v>2653794</v>
      </c>
    </row>
    <row r="188" spans="4:11" ht="12.75">
      <c r="D188" s="4" t="s">
        <v>794</v>
      </c>
      <c r="E188" s="4">
        <v>2</v>
      </c>
      <c r="F188" s="4">
        <f>RDG!G68</f>
        <v>187</v>
      </c>
      <c r="G188" s="4">
        <f>IF(RDG!H68=0,"",RDG!H68)</f>
      </c>
      <c r="H188" s="26">
        <f t="shared" si="6"/>
        <v>7928667.23</v>
      </c>
      <c r="I188" s="4">
        <f t="shared" si="7"/>
        <v>0</v>
      </c>
      <c r="J188" s="27">
        <f>RDG!I68</f>
        <v>4239929</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2178024.3599999994</v>
      </c>
      <c r="I205" s="4">
        <f t="shared" si="9"/>
        <v>0</v>
      </c>
      <c r="J205" s="27">
        <f>RDG!I89</f>
        <v>-4239929</v>
      </c>
      <c r="K205" s="27">
        <f>RDG!J89</f>
        <v>2653794</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2391556.1599999983</v>
      </c>
      <c r="I225" s="4">
        <f t="shared" si="9"/>
        <v>0</v>
      </c>
      <c r="J225" s="27">
        <f>RDG!I109</f>
        <v>-4239929</v>
      </c>
      <c r="K225" s="27">
        <f>RDG!J109</f>
        <v>2653794</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t="str">
        <f>IF(NT_I!H9&lt;&gt;"",NT_I!H9,"")</f>
        <v>13</v>
      </c>
      <c r="H299" s="26">
        <f t="shared" si="16"/>
        <v>10676.589999999997</v>
      </c>
      <c r="I299" s="4">
        <f t="shared" si="17"/>
        <v>0</v>
      </c>
      <c r="J299" s="27">
        <f>NT_I!I9</f>
        <v>-4239929</v>
      </c>
      <c r="K299" s="27">
        <f>NT_I!J9</f>
        <v>2653794</v>
      </c>
    </row>
    <row r="300" spans="4:11" ht="12.75">
      <c r="D300" s="4" t="s">
        <v>556</v>
      </c>
      <c r="E300" s="4">
        <v>4</v>
      </c>
      <c r="F300" s="4">
        <f>NT_I!G10</f>
        <v>2</v>
      </c>
      <c r="G300" s="4">
        <f>IF(NT_I!H10&lt;&gt;"",NT_I!H10,"")</f>
      </c>
      <c r="H300" s="26">
        <f t="shared" si="16"/>
        <v>275043.82</v>
      </c>
      <c r="I300" s="4">
        <f t="shared" si="17"/>
        <v>0</v>
      </c>
      <c r="J300" s="27">
        <f>NT_I!I10</f>
        <v>6362325</v>
      </c>
      <c r="K300" s="27">
        <f>NT_I!J10</f>
        <v>3694933</v>
      </c>
    </row>
    <row r="301" spans="4:11" ht="12.75">
      <c r="D301" s="4" t="s">
        <v>556</v>
      </c>
      <c r="E301" s="4">
        <v>4</v>
      </c>
      <c r="F301" s="4">
        <f>NT_I!G11</f>
        <v>3</v>
      </c>
      <c r="G301" s="4" t="str">
        <f>IF(NT_I!H11&lt;&gt;"",NT_I!H11,"")</f>
        <v>14</v>
      </c>
      <c r="H301" s="26">
        <f t="shared" si="16"/>
        <v>1626055.44</v>
      </c>
      <c r="I301" s="4">
        <f t="shared" si="17"/>
        <v>0</v>
      </c>
      <c r="J301" s="27">
        <f>NT_I!I11</f>
        <v>17591280</v>
      </c>
      <c r="K301" s="27">
        <f>NT_I!J11</f>
        <v>18305284</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t="str">
        <f>IF(NT_I!H13&lt;&gt;"",NT_I!H13,"")</f>
        <v>15</v>
      </c>
      <c r="H303" s="26">
        <f t="shared" si="18"/>
        <v>11092.45</v>
      </c>
      <c r="I303" s="4">
        <f t="shared" si="19"/>
        <v>0</v>
      </c>
      <c r="J303" s="27">
        <f>NT_I!I13</f>
        <v>131541</v>
      </c>
      <c r="K303" s="27">
        <f>NT_I!J13</f>
        <v>45154</v>
      </c>
    </row>
    <row r="304" spans="4:11" ht="12.75">
      <c r="D304" s="4" t="s">
        <v>556</v>
      </c>
      <c r="E304" s="4">
        <v>4</v>
      </c>
      <c r="F304" s="4">
        <f>NT_I!G14</f>
        <v>6</v>
      </c>
      <c r="G304" s="4" t="str">
        <f>IF(NT_I!H14&lt;&gt;"",NT_I!H14,"")</f>
        <v>11</v>
      </c>
      <c r="H304" s="26">
        <f t="shared" si="18"/>
        <v>-102505.44</v>
      </c>
      <c r="I304" s="4">
        <f t="shared" si="19"/>
        <v>0</v>
      </c>
      <c r="J304" s="27">
        <f>NT_I!I14</f>
        <v>-579096</v>
      </c>
      <c r="K304" s="27">
        <f>NT_I!J14</f>
        <v>-564664</v>
      </c>
    </row>
    <row r="305" spans="4:11" ht="12.75">
      <c r="D305" s="4" t="s">
        <v>556</v>
      </c>
      <c r="E305" s="4">
        <v>4</v>
      </c>
      <c r="F305" s="4">
        <f>NT_I!G15</f>
        <v>7</v>
      </c>
      <c r="G305" s="4" t="str">
        <f>IF(NT_I!H15&lt;&gt;"",NT_I!H15,"")</f>
        <v>12</v>
      </c>
      <c r="H305" s="26">
        <f t="shared" si="18"/>
        <v>10727.5</v>
      </c>
      <c r="I305" s="4">
        <f t="shared" si="19"/>
        <v>0</v>
      </c>
      <c r="J305" s="27">
        <f>NT_I!I15</f>
        <v>45882</v>
      </c>
      <c r="K305" s="27">
        <f>NT_I!J15</f>
        <v>53684</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t="str">
        <f>IF(NT_I!H18&lt;&gt;"",NT_I!H18,"")</f>
        <v>17/26</v>
      </c>
      <c r="H308" s="26">
        <f t="shared" si="18"/>
        <v>-3911633.2</v>
      </c>
      <c r="I308" s="4">
        <f t="shared" si="19"/>
        <v>0</v>
      </c>
      <c r="J308" s="27">
        <f>NT_I!I18</f>
        <v>-10827282</v>
      </c>
      <c r="K308" s="27">
        <f>NT_I!J18</f>
        <v>-14144525</v>
      </c>
    </row>
    <row r="309" spans="4:11" ht="12.75">
      <c r="D309" s="4" t="s">
        <v>556</v>
      </c>
      <c r="E309" s="4">
        <v>4</v>
      </c>
      <c r="F309" s="4">
        <f>NT_I!G19</f>
        <v>11</v>
      </c>
      <c r="G309" s="4">
        <f>IF(NT_I!H19&lt;&gt;"",NT_I!H19,"")</f>
      </c>
      <c r="H309" s="26">
        <f t="shared" si="18"/>
        <v>1630183.5</v>
      </c>
      <c r="I309" s="4">
        <f t="shared" si="19"/>
        <v>0</v>
      </c>
      <c r="J309" s="27">
        <f>NT_I!I19</f>
        <v>2122396</v>
      </c>
      <c r="K309" s="27">
        <f>NT_I!J19</f>
        <v>6348727</v>
      </c>
    </row>
    <row r="310" spans="4:11" ht="12.75">
      <c r="D310" s="4" t="s">
        <v>556</v>
      </c>
      <c r="E310" s="4">
        <v>4</v>
      </c>
      <c r="F310" s="4">
        <f>NT_I!G20</f>
        <v>12</v>
      </c>
      <c r="G310" s="4">
        <f>IF(NT_I!H20&lt;&gt;"",NT_I!H20,"")</f>
      </c>
      <c r="H310" s="26">
        <f t="shared" si="18"/>
        <v>1594980.24</v>
      </c>
      <c r="I310" s="4">
        <f t="shared" si="19"/>
        <v>0</v>
      </c>
      <c r="J310" s="27">
        <f>NT_I!I20</f>
        <v>5884870</v>
      </c>
      <c r="K310" s="27">
        <f>NT_I!J20</f>
        <v>3703316</v>
      </c>
    </row>
    <row r="311" spans="4:11" ht="12.75">
      <c r="D311" s="4" t="s">
        <v>556</v>
      </c>
      <c r="E311" s="4">
        <v>4</v>
      </c>
      <c r="F311" s="4">
        <f>NT_I!G21</f>
        <v>13</v>
      </c>
      <c r="G311" s="4" t="str">
        <f>IF(NT_I!H21&lt;&gt;"",NT_I!H21,"")</f>
        <v>24</v>
      </c>
      <c r="H311" s="26">
        <f t="shared" si="18"/>
        <v>-484533.5300000001</v>
      </c>
      <c r="I311" s="4">
        <f t="shared" si="19"/>
        <v>0</v>
      </c>
      <c r="J311" s="27">
        <f>NT_I!I21</f>
        <v>-4298491</v>
      </c>
      <c r="K311" s="27">
        <f>NT_I!J21</f>
        <v>285655</v>
      </c>
    </row>
    <row r="312" spans="4:11" ht="12.75">
      <c r="D312" s="4" t="s">
        <v>556</v>
      </c>
      <c r="E312" s="4">
        <v>4</v>
      </c>
      <c r="F312" s="4">
        <f>NT_I!G22</f>
        <v>14</v>
      </c>
      <c r="G312" s="4" t="str">
        <f>IF(NT_I!H22&lt;&gt;"",NT_I!H22,"")</f>
        <v>17</v>
      </c>
      <c r="H312" s="26">
        <f t="shared" si="18"/>
        <v>2410531.34</v>
      </c>
      <c r="I312" s="4">
        <f t="shared" si="19"/>
        <v>0</v>
      </c>
      <c r="J312" s="27">
        <f>NT_I!I22</f>
        <v>8732911</v>
      </c>
      <c r="K312" s="27">
        <f>NT_I!J22</f>
        <v>4242585</v>
      </c>
    </row>
    <row r="313" spans="4:11" ht="12.75">
      <c r="D313" s="4" t="s">
        <v>556</v>
      </c>
      <c r="E313" s="4">
        <v>4</v>
      </c>
      <c r="F313" s="4">
        <f>NT_I!G23</f>
        <v>15</v>
      </c>
      <c r="G313" s="4" t="str">
        <f>IF(NT_I!H23&lt;&gt;"",NT_I!H23,"")</f>
        <v>16</v>
      </c>
      <c r="H313" s="26">
        <f t="shared" si="18"/>
        <v>-205386.15000000002</v>
      </c>
      <c r="I313" s="4">
        <f t="shared" si="19"/>
        <v>0</v>
      </c>
      <c r="J313" s="27">
        <f>NT_I!I23</f>
        <v>192517</v>
      </c>
      <c r="K313" s="27">
        <f>NT_I!J23</f>
        <v>-780879</v>
      </c>
    </row>
    <row r="314" spans="4:11" ht="12.75">
      <c r="D314" s="4" t="s">
        <v>556</v>
      </c>
      <c r="E314" s="4">
        <v>4</v>
      </c>
      <c r="F314" s="4">
        <f>NT_I!G24</f>
        <v>16</v>
      </c>
      <c r="G314" s="4" t="str">
        <f>IF(NT_I!H24&lt;&gt;"",NT_I!H24,"")</f>
        <v>18/25</v>
      </c>
      <c r="H314" s="26">
        <f t="shared" si="18"/>
        <v>187174.88</v>
      </c>
      <c r="I314" s="4">
        <f t="shared" si="19"/>
        <v>0</v>
      </c>
      <c r="J314" s="27">
        <f>NT_I!I24</f>
        <v>1257933</v>
      </c>
      <c r="K314" s="27">
        <f>NT_I!J24</f>
        <v>-44045</v>
      </c>
    </row>
    <row r="315" spans="4:11" ht="12.75">
      <c r="D315" s="4" t="s">
        <v>556</v>
      </c>
      <c r="E315" s="4">
        <v>4</v>
      </c>
      <c r="F315" s="4">
        <f>NT_I!G25</f>
        <v>17</v>
      </c>
      <c r="G315" s="4">
        <f>IF(NT_I!H25&lt;&gt;"",NT_I!H25,"")</f>
      </c>
      <c r="H315" s="26">
        <f t="shared" si="18"/>
        <v>4778929.84</v>
      </c>
      <c r="I315" s="4">
        <f t="shared" si="19"/>
        <v>0</v>
      </c>
      <c r="J315" s="27">
        <f>NT_I!I25</f>
        <v>8007266</v>
      </c>
      <c r="K315" s="27">
        <f>NT_I!J25</f>
        <v>10052043</v>
      </c>
    </row>
    <row r="316" spans="4:11" ht="12.75">
      <c r="D316" s="4" t="s">
        <v>556</v>
      </c>
      <c r="E316" s="4">
        <v>4</v>
      </c>
      <c r="F316" s="4">
        <f>NT_I!G26</f>
        <v>18</v>
      </c>
      <c r="G316" s="4" t="str">
        <f>IF(NT_I!H26&lt;&gt;"",NT_I!H26,"")</f>
        <v>11</v>
      </c>
      <c r="H316" s="26">
        <f t="shared" si="18"/>
        <v>-27585</v>
      </c>
      <c r="I316" s="4">
        <f t="shared" si="19"/>
        <v>0</v>
      </c>
      <c r="J316" s="27">
        <f>NT_I!I26</f>
        <v>-45882</v>
      </c>
      <c r="K316" s="27">
        <f>NT_I!J26</f>
        <v>-53684</v>
      </c>
    </row>
    <row r="317" spans="4:11" ht="12.75">
      <c r="D317" s="4" t="s">
        <v>556</v>
      </c>
      <c r="E317" s="4">
        <v>4</v>
      </c>
      <c r="F317" s="4">
        <f>NT_I!G27</f>
        <v>19</v>
      </c>
      <c r="G317" s="4" t="str">
        <f>IF(NT_I!H27&lt;&gt;"",NT_I!H27,"")</f>
        <v>13</v>
      </c>
      <c r="H317" s="26">
        <f t="shared" si="18"/>
        <v>-117648.76000000001</v>
      </c>
      <c r="I317" s="4">
        <f t="shared" si="19"/>
        <v>0</v>
      </c>
      <c r="J317" s="27">
        <f>NT_I!I27</f>
        <v>-382244</v>
      </c>
      <c r="K317" s="27">
        <f>NT_I!J27</f>
        <v>-118480</v>
      </c>
    </row>
    <row r="318" spans="4:11" ht="12.75">
      <c r="D318" s="4" t="s">
        <v>556</v>
      </c>
      <c r="E318" s="4">
        <v>4</v>
      </c>
      <c r="F318" s="4">
        <f>NT_I!G28</f>
        <v>20</v>
      </c>
      <c r="G318" s="4">
        <f>IF(NT_I!H28&lt;&gt;"",NT_I!H28,"")</f>
      </c>
      <c r="H318" s="26">
        <f t="shared" si="18"/>
        <v>5467779.6</v>
      </c>
      <c r="I318" s="4">
        <f t="shared" si="19"/>
        <v>0</v>
      </c>
      <c r="J318" s="27">
        <f>NT_I!I28</f>
        <v>7579140</v>
      </c>
      <c r="K318" s="27">
        <f>NT_I!J28</f>
        <v>9879879</v>
      </c>
    </row>
    <row r="319" spans="4:11" ht="12.75">
      <c r="D319" s="4" t="s">
        <v>556</v>
      </c>
      <c r="E319" s="4">
        <v>4</v>
      </c>
      <c r="F319" s="4">
        <f>NT_I!G30</f>
        <v>21</v>
      </c>
      <c r="G319" s="4">
        <f>IF(NT_I!H30&lt;&gt;"",NT_I!H30,"")</f>
      </c>
      <c r="H319" s="26">
        <f t="shared" si="18"/>
        <v>55871.34</v>
      </c>
      <c r="I319" s="4">
        <f t="shared" si="19"/>
        <v>0</v>
      </c>
      <c r="J319" s="27">
        <f>NT_I!I30</f>
        <v>266054</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t="str">
        <f>IF(NT_I!H35&lt;&gt;"",NT_I!H35,"")</f>
        <v>26</v>
      </c>
      <c r="H324" s="26">
        <f t="shared" si="18"/>
        <v>11461708.18</v>
      </c>
      <c r="I324" s="4">
        <f t="shared" si="19"/>
        <v>0</v>
      </c>
      <c r="J324" s="27">
        <f>NT_I!I35</f>
        <v>20980131</v>
      </c>
      <c r="K324" s="27">
        <f>NT_I!J35</f>
        <v>11551681</v>
      </c>
    </row>
    <row r="325" spans="4:11" ht="12.75">
      <c r="D325" s="4" t="s">
        <v>556</v>
      </c>
      <c r="E325" s="4">
        <v>4</v>
      </c>
      <c r="F325" s="4">
        <f>NT_I!G36</f>
        <v>27</v>
      </c>
      <c r="G325" s="4">
        <f>IF(NT_I!H36&lt;&gt;"",NT_I!H36,"")</f>
      </c>
      <c r="H325" s="26">
        <f t="shared" si="18"/>
        <v>11974377.690000001</v>
      </c>
      <c r="I325" s="4">
        <f t="shared" si="19"/>
        <v>0</v>
      </c>
      <c r="J325" s="27">
        <f>NT_I!I36</f>
        <v>21246185</v>
      </c>
      <c r="K325" s="27">
        <f>NT_I!J36</f>
        <v>11551681</v>
      </c>
    </row>
    <row r="326" spans="4:11" ht="12.75">
      <c r="D326" s="4" t="s">
        <v>556</v>
      </c>
      <c r="E326" s="4">
        <v>4</v>
      </c>
      <c r="F326" s="4">
        <f>NT_I!G37</f>
        <v>28</v>
      </c>
      <c r="G326" s="4" t="str">
        <f>IF(NT_I!H37&lt;&gt;"",NT_I!H37,"")</f>
        <v>14</v>
      </c>
      <c r="H326" s="26">
        <f t="shared" si="18"/>
        <v>-20202032.76</v>
      </c>
      <c r="I326" s="4">
        <f t="shared" si="19"/>
        <v>0</v>
      </c>
      <c r="J326" s="27">
        <f>NT_I!I37</f>
        <v>-31449477</v>
      </c>
      <c r="K326" s="27">
        <f>NT_I!J37</f>
        <v>-20350320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-23809538.61</v>
      </c>
      <c r="I331" s="4">
        <f t="shared" si="19"/>
        <v>0</v>
      </c>
      <c r="J331" s="27">
        <f>NT_I!I42</f>
        <v>-31449477</v>
      </c>
      <c r="K331" s="27">
        <f>NT_I!J42</f>
        <v>-20350320</v>
      </c>
    </row>
    <row r="332" spans="4:11" ht="12.75">
      <c r="D332" s="4" t="s">
        <v>556</v>
      </c>
      <c r="E332" s="4">
        <v>4</v>
      </c>
      <c r="F332" s="4">
        <f>NT_I!G43</f>
        <v>34</v>
      </c>
      <c r="G332" s="4">
        <f>IF(NT_I!H43&lt;&gt;"",NT_I!H43,"")</f>
      </c>
      <c r="H332" s="26">
        <f t="shared" si="18"/>
        <v>-9452193.799999999</v>
      </c>
      <c r="I332" s="4">
        <f t="shared" si="19"/>
        <v>0</v>
      </c>
      <c r="J332" s="27">
        <f>NT_I!I43</f>
        <v>-10203292</v>
      </c>
      <c r="K332" s="27">
        <f>NT_I!J43</f>
        <v>-8798639</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t="str">
        <f>IF(NT_I!H48&lt;&gt;"",NT_I!H48,"")</f>
        <v>23</v>
      </c>
      <c r="H336" s="26">
        <f t="shared" si="18"/>
        <v>1762250</v>
      </c>
      <c r="I336" s="4">
        <f t="shared" si="19"/>
        <v>0</v>
      </c>
      <c r="J336" s="27">
        <f>NT_I!I48</f>
        <v>0</v>
      </c>
      <c r="K336" s="27">
        <f>NT_I!J48</f>
        <v>2318750</v>
      </c>
    </row>
    <row r="337" spans="4:11" ht="12.75">
      <c r="D337" s="4" t="s">
        <v>556</v>
      </c>
      <c r="E337" s="4">
        <v>4</v>
      </c>
      <c r="F337" s="4">
        <f>NT_I!G49</f>
        <v>39</v>
      </c>
      <c r="G337" s="4">
        <f>IF(NT_I!H49&lt;&gt;"",NT_I!H49,"")</f>
      </c>
      <c r="H337" s="26">
        <f t="shared" si="18"/>
        <v>1808625</v>
      </c>
      <c r="I337" s="4">
        <f t="shared" si="19"/>
        <v>0</v>
      </c>
      <c r="J337" s="27">
        <f>NT_I!I49</f>
        <v>0</v>
      </c>
      <c r="K337" s="27">
        <f>NT_I!J49</f>
        <v>2318750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t="str">
        <f>IF(NT_I!H52&lt;&gt;"",NT_I!H52,"")</f>
        <v>23</v>
      </c>
      <c r="H340" s="26">
        <f t="shared" si="18"/>
        <v>-1163423.1</v>
      </c>
      <c r="I340" s="4">
        <f t="shared" si="19"/>
        <v>0</v>
      </c>
      <c r="J340" s="27">
        <f>NT_I!I52</f>
        <v>-632821</v>
      </c>
      <c r="K340" s="27">
        <f>NT_I!J52</f>
        <v>-1068617</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-1246524.75</v>
      </c>
      <c r="I343" s="4">
        <f t="shared" si="21"/>
        <v>0</v>
      </c>
      <c r="J343" s="27">
        <f>NT_I!I55</f>
        <v>-632821</v>
      </c>
      <c r="K343" s="27">
        <f>NT_I!J55</f>
        <v>-1068617</v>
      </c>
    </row>
    <row r="344" spans="4:11" ht="12.75">
      <c r="D344" s="4" t="s">
        <v>556</v>
      </c>
      <c r="E344" s="4">
        <v>4</v>
      </c>
      <c r="F344" s="4">
        <f>NT_I!G56</f>
        <v>46</v>
      </c>
      <c r="G344" s="4">
        <f>IF(NT_I!H56&lt;&gt;"",NT_I!H56,"")</f>
      </c>
      <c r="H344" s="26">
        <f t="shared" si="20"/>
        <v>859024.7000000002</v>
      </c>
      <c r="I344" s="4">
        <f t="shared" si="21"/>
        <v>0</v>
      </c>
      <c r="J344" s="27">
        <f>NT_I!I56</f>
        <v>-632821</v>
      </c>
      <c r="K344" s="27">
        <f>NT_I!J56</f>
        <v>1250133</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674771.04</v>
      </c>
      <c r="I346" s="4">
        <f t="shared" si="21"/>
        <v>0</v>
      </c>
      <c r="J346" s="27">
        <f>NT_I!I58</f>
        <v>-3256973</v>
      </c>
      <c r="K346" s="27">
        <f>NT_I!J58</f>
        <v>2331373</v>
      </c>
    </row>
    <row r="347" spans="4:11" ht="12.75">
      <c r="D347" s="4" t="s">
        <v>556</v>
      </c>
      <c r="E347" s="4">
        <v>4</v>
      </c>
      <c r="F347" s="4">
        <f>NT_I!G59</f>
        <v>49</v>
      </c>
      <c r="G347" s="4" t="str">
        <f>IF(NT_I!H59&lt;&gt;"",NT_I!H59,"")</f>
        <v>20</v>
      </c>
      <c r="H347" s="26">
        <f t="shared" si="20"/>
        <v>11546630.48</v>
      </c>
      <c r="I347" s="4">
        <f t="shared" si="21"/>
        <v>0</v>
      </c>
      <c r="J347" s="27">
        <f>NT_I!I59</f>
        <v>10026166</v>
      </c>
      <c r="K347" s="27">
        <f>NT_I!J59</f>
        <v>6769193</v>
      </c>
    </row>
    <row r="348" spans="4:11" ht="12.75">
      <c r="D348" s="4" t="s">
        <v>556</v>
      </c>
      <c r="E348" s="4">
        <v>4</v>
      </c>
      <c r="F348" s="4">
        <f>NT_I!G60</f>
        <v>50</v>
      </c>
      <c r="G348" s="4" t="str">
        <f>IF(NT_I!H60&lt;&gt;"",NT_I!H60,"")</f>
        <v>20</v>
      </c>
      <c r="H348" s="26">
        <f t="shared" si="20"/>
        <v>12485162.5</v>
      </c>
      <c r="I348" s="4">
        <f t="shared" si="21"/>
        <v>0</v>
      </c>
      <c r="J348" s="27">
        <f>NT_I!I60</f>
        <v>6769193</v>
      </c>
      <c r="K348" s="27">
        <f>NT_I!J60</f>
        <v>9100566</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t="str">
        <f>IF(PK!H10&lt;&gt;"",PK!H10,"")</f>
        <v>21</v>
      </c>
      <c r="H393" s="26">
        <f>J393/100*F393+2*K393/100*F393+3*L393/100+4*M393/100+5*N393/100+6*O393/100+7*P393/100+8*Q393/100+9*R393/100+10*S393/100+11*T393/100+12*U393/100+13*V393/100+14*W393/100+15*X393/100+16*Y393/100+17*Z393/100+18*AA393/100</f>
        <v>56050267.17</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159483800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427459</v>
      </c>
      <c r="X393" s="27">
        <f>PK!W10</f>
        <v>52565</v>
      </c>
      <c r="Y393" s="27">
        <f>PK!X10</f>
        <v>159963824</v>
      </c>
      <c r="Z393" s="27">
        <f>PK!Y10</f>
        <v>0</v>
      </c>
      <c r="AA393" s="27">
        <f>PK!Z10</f>
        <v>159963824</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t="str">
        <f>IF(PK!H13&lt;&gt;"",PK!H13,"")</f>
        <v>21</v>
      </c>
      <c r="H396" s="26">
        <f t="shared" si="24"/>
        <v>60834781.17</v>
      </c>
      <c r="I396" s="27">
        <f t="shared" si="25"/>
        <v>0</v>
      </c>
      <c r="J396" s="27">
        <f>PK!I13</f>
        <v>159483800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427459</v>
      </c>
      <c r="X396" s="27">
        <f>PK!W13</f>
        <v>52565</v>
      </c>
      <c r="Y396" s="27">
        <f>PK!X13</f>
        <v>159963824</v>
      </c>
      <c r="Z396" s="27">
        <f>PK!Y13</f>
        <v>0</v>
      </c>
      <c r="AA396" s="27">
        <f>PK!Z13</f>
        <v>159963824</v>
      </c>
    </row>
    <row r="397" spans="4:27" ht="12.75">
      <c r="D397" s="4" t="s">
        <v>795</v>
      </c>
      <c r="E397" s="4">
        <v>6</v>
      </c>
      <c r="F397" s="4">
        <f>PK!G14</f>
        <v>5</v>
      </c>
      <c r="G397" s="4" t="str">
        <f>IF(PK!H14&lt;&gt;"",PK!H14,"")</f>
        <v>21</v>
      </c>
      <c r="H397" s="26">
        <f t="shared" si="24"/>
        <v>-2077565.21</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-4239929</v>
      </c>
      <c r="Y397" s="27">
        <f>PK!X14</f>
        <v>-4239929</v>
      </c>
      <c r="Z397" s="27">
        <f>PK!Y14</f>
        <v>0</v>
      </c>
      <c r="AA397" s="27">
        <f>PK!Z14</f>
        <v>-4239929</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t="str">
        <f>IF(PK!H31&lt;&gt;"",PK!H31,"")</f>
        <v>21</v>
      </c>
      <c r="H414" s="26">
        <f t="shared" si="24"/>
        <v>-525.6499999999996</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52565</v>
      </c>
      <c r="X414" s="27">
        <f>PK!W31</f>
        <v>-52565</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t="str">
        <f>IF(PK!H33&lt;&gt;"",PK!H33,"")</f>
        <v>21</v>
      </c>
      <c r="H416" s="26">
        <f t="shared" si="24"/>
        <v>90653450.31</v>
      </c>
      <c r="I416" s="27">
        <f t="shared" si="25"/>
        <v>0</v>
      </c>
      <c r="J416" s="27">
        <f>PK!I33</f>
        <v>159483800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480024</v>
      </c>
      <c r="X416" s="27">
        <f>PK!W33</f>
        <v>-4239929</v>
      </c>
      <c r="Y416" s="27">
        <f>PK!X33</f>
        <v>155723895</v>
      </c>
      <c r="Z416" s="27">
        <f>PK!Y33</f>
        <v>0</v>
      </c>
      <c r="AA416" s="27">
        <f>PK!Z33</f>
        <v>155723895</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t="str">
        <f>IF(PK!H36&lt;&gt;"",PK!H36,"")</f>
        <v>21</v>
      </c>
      <c r="H418" s="26">
        <f t="shared" si="24"/>
        <v>-2077565.21</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-4239929</v>
      </c>
      <c r="Y418" s="27">
        <f>PK!X36</f>
        <v>-4239929</v>
      </c>
      <c r="Z418" s="27">
        <f>PK!Y36</f>
        <v>0</v>
      </c>
      <c r="AA418" s="27">
        <f>PK!Z36</f>
        <v>-4239929</v>
      </c>
    </row>
    <row r="419" spans="4:27" ht="12.75">
      <c r="D419" s="4" t="s">
        <v>795</v>
      </c>
      <c r="E419" s="4">
        <v>6</v>
      </c>
      <c r="F419" s="4">
        <f>PK!G37</f>
        <v>27</v>
      </c>
      <c r="G419" s="4" t="str">
        <f>IF(PK!H37&lt;&gt;"",PK!H37,"")</f>
        <v>21</v>
      </c>
      <c r="H419" s="26">
        <f t="shared" si="24"/>
        <v>-525.6499999999996</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52565</v>
      </c>
      <c r="X419" s="27">
        <f>PK!W37</f>
        <v>-52565</v>
      </c>
      <c r="Y419" s="27">
        <f>PK!X37</f>
        <v>0</v>
      </c>
      <c r="Z419" s="27">
        <f>PK!Y37</f>
        <v>0</v>
      </c>
      <c r="AA419" s="27">
        <f>PK!Z37</f>
        <v>0</v>
      </c>
    </row>
    <row r="420" spans="4:27" ht="12.75">
      <c r="D420" s="4" t="s">
        <v>795</v>
      </c>
      <c r="E420" s="4">
        <v>6</v>
      </c>
      <c r="F420" s="4">
        <f>PK!G39</f>
        <v>28</v>
      </c>
      <c r="G420" s="4" t="str">
        <f>IF(PK!H39&lt;&gt;"",PK!H39,"")</f>
        <v>21</v>
      </c>
      <c r="H420" s="26">
        <f t="shared" si="24"/>
        <v>97032802.31</v>
      </c>
      <c r="I420" s="27">
        <f t="shared" si="25"/>
        <v>0</v>
      </c>
      <c r="J420" s="27">
        <f>PK!I39</f>
        <v>159483800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480024</v>
      </c>
      <c r="X420" s="27">
        <f>PK!W39</f>
        <v>-4239929</v>
      </c>
      <c r="Y420" s="27">
        <f>PK!X39</f>
        <v>155723895</v>
      </c>
      <c r="Z420" s="27">
        <f>PK!Y39</f>
        <v>0</v>
      </c>
      <c r="AA420" s="27">
        <f>PK!Z39</f>
        <v>155723895</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t="str">
        <f>IF(PK!H42&lt;&gt;"",PK!H42,"")</f>
        <v>21</v>
      </c>
      <c r="H423" s="26">
        <f t="shared" si="24"/>
        <v>101817316.31</v>
      </c>
      <c r="I423" s="27">
        <f t="shared" si="25"/>
        <v>0</v>
      </c>
      <c r="J423" s="27">
        <f>PK!I42</f>
        <v>159483800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480024</v>
      </c>
      <c r="X423" s="27">
        <f>PK!W42</f>
        <v>-4239929</v>
      </c>
      <c r="Y423" s="27">
        <f>PK!X42</f>
        <v>155723895</v>
      </c>
      <c r="Z423" s="27">
        <f>PK!Y42</f>
        <v>0</v>
      </c>
      <c r="AA423" s="27">
        <f>PK!Z42</f>
        <v>155723895</v>
      </c>
    </row>
    <row r="424" spans="4:27" ht="12.75">
      <c r="D424" s="4" t="s">
        <v>795</v>
      </c>
      <c r="E424" s="4">
        <v>6</v>
      </c>
      <c r="F424" s="4">
        <f>PK!G43</f>
        <v>32</v>
      </c>
      <c r="G424" s="4" t="str">
        <f>IF(PK!H43&lt;&gt;"",PK!H43,"")</f>
        <v>21</v>
      </c>
      <c r="H424" s="26">
        <f t="shared" si="24"/>
        <v>1300359.0599999998</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2653794</v>
      </c>
      <c r="Y424" s="27">
        <f>PK!X43</f>
        <v>2653794</v>
      </c>
      <c r="Z424" s="27">
        <f>PK!Y43</f>
        <v>0</v>
      </c>
      <c r="AA424" s="27">
        <f>PK!Z43</f>
        <v>2653794</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t="str">
        <f>IF(PK!H60&lt;&gt;"",PK!H60,"")</f>
        <v>21</v>
      </c>
      <c r="H441" s="26">
        <f t="shared" si="24"/>
        <v>42399.28999999992</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-4239929</v>
      </c>
      <c r="X441" s="27">
        <f>PK!W60</f>
        <v>4239929</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t="str">
        <f>IF(PK!H62&lt;&gt;"",PK!H62,"")</f>
        <v>21</v>
      </c>
      <c r="H443" s="26">
        <f t="shared" si="24"/>
        <v>135056834.66</v>
      </c>
      <c r="I443" s="27">
        <f t="shared" si="25"/>
        <v>0</v>
      </c>
      <c r="J443" s="27">
        <f>PK!I62</f>
        <v>159483800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-3759905</v>
      </c>
      <c r="X443" s="27">
        <f>PK!W62</f>
        <v>2653794</v>
      </c>
      <c r="Y443" s="27">
        <f>PK!X62</f>
        <v>158377689</v>
      </c>
      <c r="Z443" s="27">
        <f>PK!Y62</f>
        <v>0</v>
      </c>
      <c r="AA443" s="27">
        <f>PK!Z62</f>
        <v>158377689</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t="str">
        <f>IF(PK!H65&lt;&gt;"",PK!H65,"")</f>
        <v>21</v>
      </c>
      <c r="H445" s="26">
        <f t="shared" si="24"/>
        <v>1300359.0599999998</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2653794</v>
      </c>
      <c r="Y445" s="27">
        <f>PK!X65</f>
        <v>2653794</v>
      </c>
      <c r="Z445" s="27">
        <f>PK!Y65</f>
        <v>0</v>
      </c>
      <c r="AA445" s="27">
        <f>PK!Z65</f>
        <v>2653794</v>
      </c>
    </row>
    <row r="446" spans="4:27" ht="12.75">
      <c r="D446" s="4" t="s">
        <v>795</v>
      </c>
      <c r="E446" s="4">
        <v>6</v>
      </c>
      <c r="F446" s="4">
        <f>PK!G66</f>
        <v>54</v>
      </c>
      <c r="G446" s="4" t="str">
        <f>IF(PK!H66&lt;&gt;"",PK!H66,"")</f>
        <v>21</v>
      </c>
      <c r="H446" s="26">
        <f t="shared" si="24"/>
        <v>42399.28999999992</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-4239929</v>
      </c>
      <c r="X446" s="27">
        <f>PK!W66</f>
        <v>4239929</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0" activePane="bottomLeft" state="frozen"/>
      <selection pane="topLeft" activeCell="A2" sqref="A2"/>
      <selection pane="bottomLeft" activeCell="C71" sqref="C71:J7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VODOVOD D.O.O. ZADAR</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4</v>
      </c>
      <c r="T3" s="206" t="s">
        <v>614</v>
      </c>
      <c r="U3" s="224" t="str">
        <f>RefStr!L21</f>
        <v>98910718267</v>
      </c>
      <c r="V3" s="206" t="s">
        <v>2736</v>
      </c>
      <c r="W3" s="224">
        <f>RefStr!C31</f>
        <v>23000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89406825003</v>
      </c>
      <c r="V4" s="206" t="s">
        <v>2737</v>
      </c>
      <c r="W4" s="224" t="str">
        <f>RefStr!F31</f>
        <v>ZADAR</v>
      </c>
      <c r="X4" s="226" t="s">
        <v>1783</v>
      </c>
      <c r="Y4" s="227" t="str">
        <f>RefStr!I68</f>
        <v>DA</v>
      </c>
      <c r="Z4" s="206" t="s">
        <v>2970</v>
      </c>
      <c r="AA4" s="224" t="str">
        <f>RefStr!N19</f>
        <v>MSFI</v>
      </c>
    </row>
    <row r="5" spans="1:27" ht="13.5" customHeight="1">
      <c r="A5" s="504"/>
      <c r="B5" s="505"/>
      <c r="C5" s="505"/>
      <c r="D5" s="505"/>
      <c r="E5" s="505"/>
      <c r="F5" s="505"/>
      <c r="G5" s="505"/>
      <c r="H5" s="505"/>
      <c r="I5" s="512"/>
      <c r="J5" s="513"/>
      <c r="L5" s="3"/>
      <c r="M5" s="3"/>
      <c r="N5" s="203" t="s">
        <v>556</v>
      </c>
      <c r="O5" s="206">
        <f>NT_I!Q1</f>
        <v>1</v>
      </c>
      <c r="P5" s="207">
        <f>NT_I!Q2</f>
        <v>1</v>
      </c>
      <c r="Q5" s="224">
        <f>NT_I!Q3</f>
        <v>1</v>
      </c>
      <c r="R5" s="206" t="s">
        <v>2888</v>
      </c>
      <c r="S5" s="224">
        <f>IF(RefStr!C19&lt;&gt;"",IF(ISERROR(INT(RefStr!C19)),0,RefStr!C19),0)</f>
        <v>2</v>
      </c>
      <c r="T5" s="206" t="s">
        <v>1560</v>
      </c>
      <c r="U5" s="224" t="str">
        <f>RefStr!H27</f>
        <v>03410153</v>
      </c>
      <c r="V5" s="206" t="s">
        <v>2738</v>
      </c>
      <c r="W5" s="224" t="str">
        <f>RefStr!C33</f>
        <v>ŠPIRE BRUSINE 17</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060083654</v>
      </c>
      <c r="V6" s="206" t="s">
        <v>2968</v>
      </c>
      <c r="W6" s="224" t="str">
        <f>RefStr!L35</f>
        <v>023/282902</v>
      </c>
      <c r="X6" s="206" t="s">
        <v>2926</v>
      </c>
      <c r="Y6" s="224" t="str">
        <f>RefStr!C68</f>
        <v>Klaudia Stulić, Iva Kolanović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VODOVOD1@VODOVOD-ZADAR.HR</v>
      </c>
      <c r="X7" s="206" t="s">
        <v>2927</v>
      </c>
      <c r="Y7" s="224" t="str">
        <f>RefStr!C70</f>
        <v>023/282 926</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3600</v>
      </c>
      <c r="X8" s="206" t="s">
        <v>2928</v>
      </c>
      <c r="Y8" s="224" t="str">
        <f>TRIM(UPPER(RefStr!C72))</f>
        <v>KLAUDIA.STULIC@VODOVOD-ZADAR.HR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220</v>
      </c>
      <c r="Q9" s="223">
        <f>RefStr!F58</f>
        <v>221</v>
      </c>
      <c r="R9" s="206" t="s">
        <v>914</v>
      </c>
      <c r="S9" s="224">
        <f>IF(RefStr!F4&lt;&gt;"",RefStr!F4,0)</f>
        <v>44561</v>
      </c>
      <c r="T9" s="206" t="s">
        <v>891</v>
      </c>
      <c r="U9" s="224">
        <f>RefStr!C39</f>
        <v>520</v>
      </c>
      <c r="V9" s="206" t="s">
        <v>2951</v>
      </c>
      <c r="W9" s="224" t="str">
        <f>RefStr!D42</f>
        <v>Skupljanje, pročišćavanje i opskrba vo...</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296</v>
      </c>
      <c r="Q10" s="225">
        <f>RefStr!F56</f>
        <v>291</v>
      </c>
      <c r="R10" s="208" t="s">
        <v>917</v>
      </c>
      <c r="S10" s="225">
        <f>RefStr!C23</f>
        <v>1</v>
      </c>
      <c r="T10" s="208" t="s">
        <v>2973</v>
      </c>
      <c r="U10" s="225" t="str">
        <f>RefStr!D39</f>
        <v>Zadar</v>
      </c>
      <c r="V10" s="232"/>
      <c r="W10" s="233"/>
      <c r="X10" s="234" t="s">
        <v>2279</v>
      </c>
      <c r="Y10" s="235">
        <f>RefStr!F12</f>
        <v>2021</v>
      </c>
      <c r="Z10" s="208" t="s">
        <v>1771</v>
      </c>
      <c r="AA10" s="225" t="str">
        <f>RefStr!A75</f>
        <v>TOMISLAV MATEK, dipl. ing. građ.</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4, a upisana veličina je 4.</v>
      </c>
      <c r="D50" s="491"/>
      <c r="E50" s="491"/>
      <c r="F50" s="491"/>
      <c r="G50" s="491"/>
      <c r="H50" s="491"/>
      <c r="I50" s="491"/>
      <c r="J50" s="491"/>
      <c r="L50" s="190">
        <f>IF(N50&lt;&gt;S3,1,0)</f>
        <v>0</v>
      </c>
      <c r="M50" s="190"/>
      <c r="N50" s="190">
        <f>IF(P8&gt;0,O50,AC50)</f>
        <v>4</v>
      </c>
      <c r="O50" s="194">
        <f>IF(SUM(Y50:AA50)&gt;1,4,IF(SUM(U50:W50)&gt;1,3,IF(SUM(Q50:S50)&gt;1,2,IF(S6="DA",2,1))))</f>
        <v>4</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1</v>
      </c>
      <c r="AC50" s="194">
        <f>IF(SUM(AM50:AO50)&gt;1,4,IF(SUM(AI50:AK50)&gt;1,3,IF(SUM(AE50:AG50)&gt;1,2,IF(S6="DA",2,1))))</f>
        <v>4</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1</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C:\Users\kstulic\Desktop\[GFI-POD, Godišnji financijski izvještaj poduzetnika 2021.xls]NT_I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6" activePane="bottomLeft" state="frozen"/>
      <selection pane="topLeft" activeCell="A1" sqref="A1"/>
      <selection pane="bottomLeft" activeCell="I54" sqref="I5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341015.3</v>
      </c>
    </row>
    <row r="13" spans="4:17" ht="9.75" customHeight="1">
      <c r="D13" s="152"/>
      <c r="E13" s="158"/>
      <c r="H13" s="23"/>
      <c r="I13" s="159"/>
      <c r="J13" s="159"/>
      <c r="K13" s="152"/>
      <c r="L13" s="152"/>
      <c r="M13" s="152"/>
      <c r="N13" s="152"/>
      <c r="P13" s="50" t="s">
        <v>1561</v>
      </c>
      <c r="Q13" s="51">
        <f>INT(VALUE(M27))/50</f>
        <v>1201673.08</v>
      </c>
    </row>
    <row r="14" spans="1:17" ht="15">
      <c r="A14" s="289" t="s">
        <v>1312</v>
      </c>
      <c r="B14" s="289"/>
      <c r="C14" s="289"/>
      <c r="D14" s="160"/>
      <c r="E14" s="161"/>
      <c r="F14" s="287"/>
      <c r="G14" s="288"/>
      <c r="H14" s="288"/>
      <c r="I14" s="152"/>
      <c r="J14" s="310" t="s">
        <v>1978</v>
      </c>
      <c r="K14" s="311"/>
      <c r="L14" s="311"/>
      <c r="M14" s="311"/>
      <c r="N14" s="311"/>
      <c r="P14" s="50" t="s">
        <v>1316</v>
      </c>
      <c r="Q14" s="51">
        <f>INT(VALUE(C27))/100</f>
        <v>894068250.03</v>
      </c>
    </row>
    <row r="15" spans="1:17" ht="19.5" customHeight="1">
      <c r="A15" s="307">
        <f>Skriveni!B59</f>
        <v>11191519336.220005</v>
      </c>
      <c r="B15" s="308"/>
      <c r="C15" s="309"/>
      <c r="D15" s="56"/>
      <c r="E15" s="56"/>
      <c r="F15" s="56"/>
      <c r="G15" s="56"/>
      <c r="H15" s="56"/>
      <c r="I15" s="56"/>
      <c r="J15" s="56"/>
      <c r="K15" s="56"/>
      <c r="L15" s="56"/>
      <c r="M15" s="56"/>
      <c r="N15" s="56"/>
      <c r="P15" s="50" t="s">
        <v>887</v>
      </c>
      <c r="Q15" s="51">
        <f>LEN(Skriveni!B9)</f>
        <v>20</v>
      </c>
    </row>
    <row r="16" spans="4:17" ht="12.75" customHeight="1">
      <c r="D16" s="56"/>
      <c r="E16" s="56"/>
      <c r="F16" s="56"/>
      <c r="G16" s="56"/>
      <c r="H16" s="56"/>
      <c r="I16" s="56"/>
      <c r="P16" s="50" t="s">
        <v>888</v>
      </c>
      <c r="Q16" s="51">
        <f>INT(VALUE(C31))/100</f>
        <v>230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2994</v>
      </c>
      <c r="P19" s="50" t="s">
        <v>890</v>
      </c>
      <c r="Q19" s="51">
        <f>LEN(Skriveni!B12)</f>
        <v>16</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2996</v>
      </c>
      <c r="M21" s="283"/>
      <c r="N21" s="284"/>
      <c r="P21" s="50" t="s">
        <v>891</v>
      </c>
      <c r="Q21" s="51">
        <f>INT(VALUE(C39))</f>
        <v>520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23000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3</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520</v>
      </c>
      <c r="D39" s="358" t="str">
        <f>IF(C39="","Upišite šifru grada/općine",IF(ISNA(LOOKUP(C39,A177:A732,A177:A732)),"Šifra grada/općine ne postoji",IF(LOOKUP(C39,A177:A732,A177:A732)&lt;&gt;C39,"Šifra grada/općine ne postoji",LOOKUP(C39,A177:A732,B177:B732))))</f>
        <v>Zadar</v>
      </c>
      <c r="E39" s="359"/>
      <c r="F39" s="359"/>
      <c r="G39" s="359"/>
      <c r="H39" s="279" t="s">
        <v>2109</v>
      </c>
      <c r="I39" s="280"/>
      <c r="J39" s="54">
        <f>IF(C39&gt;0,LOOKUP(C39,A177:A732,C177:C732),"")</f>
        <v>13</v>
      </c>
      <c r="K39" s="350" t="str">
        <f>IF(J39="","Upišite šifru grada/općine",LOOKUP(J39,A153:A173,B153:B173))</f>
        <v>ZADARSKA</v>
      </c>
      <c r="L39" s="350"/>
      <c r="M39" s="350"/>
      <c r="N39" s="350"/>
      <c r="P39" s="50" t="s">
        <v>896</v>
      </c>
      <c r="Q39" s="51">
        <f>C56+2*F56+3*C58+4*F58</f>
        <v>2422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32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989107182.67</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4</v>
      </c>
      <c r="D50" s="379" t="str">
        <f>IF(C50="","Upišite oznaku veličine",IF(ISNA(LOOKUP(C50,A124:A127,A124:A127)),"Nepostojeća oznaka veličine",IF(LOOKUP(C50,A124:A127,A124:A127)&lt;&gt;C50,"Nepostojeća oznaka veličine",LOOKUP(C50,A124:A127,B124:B127))))</f>
        <v>Veliki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1.2</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296</v>
      </c>
      <c r="D56" s="272" t="s">
        <v>2653</v>
      </c>
      <c r="E56" s="362"/>
      <c r="F56" s="40">
        <v>291</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220</v>
      </c>
      <c r="D58" s="354" t="s">
        <v>2653</v>
      </c>
      <c r="E58" s="354"/>
      <c r="F58" s="40">
        <v>221</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7" activePane="bottomLeft" state="frozen"/>
      <selection pane="topLeft" activeCell="A1" sqref="A1"/>
      <selection pane="bottomLeft" activeCell="H103" sqref="H10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89406825003; VODOVOD D.O.O. ZADAR</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521063838</v>
      </c>
      <c r="J10" s="66">
        <f>J11+J18+J28+J39+J44</f>
        <v>521086054</v>
      </c>
    </row>
    <row r="11" spans="1:10" ht="13.5" customHeight="1">
      <c r="A11" s="390" t="s">
        <v>904</v>
      </c>
      <c r="B11" s="390"/>
      <c r="C11" s="390"/>
      <c r="D11" s="390"/>
      <c r="E11" s="390"/>
      <c r="F11" s="390"/>
      <c r="G11" s="15">
        <v>3</v>
      </c>
      <c r="H11" s="16"/>
      <c r="I11" s="66">
        <f>SUM(I12:I17)</f>
        <v>725625</v>
      </c>
      <c r="J11" s="66">
        <f>SUM(J12:J17)</f>
        <v>339795</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t="s">
        <v>3005</v>
      </c>
      <c r="I13" s="67">
        <v>312217</v>
      </c>
      <c r="J13" s="67">
        <v>264275</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t="s">
        <v>3006</v>
      </c>
      <c r="I17" s="67">
        <v>413408</v>
      </c>
      <c r="J17" s="67">
        <v>75520</v>
      </c>
    </row>
    <row r="18" spans="1:10" ht="13.5" customHeight="1">
      <c r="A18" s="390" t="s">
        <v>965</v>
      </c>
      <c r="B18" s="390"/>
      <c r="C18" s="390"/>
      <c r="D18" s="390"/>
      <c r="E18" s="390"/>
      <c r="F18" s="390"/>
      <c r="G18" s="15">
        <v>10</v>
      </c>
      <c r="H18" s="16"/>
      <c r="I18" s="66">
        <f>SUM(I19:I27)</f>
        <v>513095135</v>
      </c>
      <c r="J18" s="66">
        <f>SUM(J19:J27)</f>
        <v>514681196</v>
      </c>
    </row>
    <row r="19" spans="1:10" ht="13.5" customHeight="1">
      <c r="A19" s="387" t="s">
        <v>733</v>
      </c>
      <c r="B19" s="387"/>
      <c r="C19" s="387"/>
      <c r="D19" s="387"/>
      <c r="E19" s="387"/>
      <c r="F19" s="387"/>
      <c r="G19" s="15">
        <v>11</v>
      </c>
      <c r="H19" s="16" t="s">
        <v>3005</v>
      </c>
      <c r="I19" s="67">
        <v>48830245</v>
      </c>
      <c r="J19" s="67">
        <v>48830245</v>
      </c>
    </row>
    <row r="20" spans="1:10" ht="13.5" customHeight="1">
      <c r="A20" s="387" t="s">
        <v>796</v>
      </c>
      <c r="B20" s="387"/>
      <c r="C20" s="387"/>
      <c r="D20" s="387"/>
      <c r="E20" s="387"/>
      <c r="F20" s="387"/>
      <c r="G20" s="15">
        <v>12</v>
      </c>
      <c r="H20" s="16" t="s">
        <v>3005</v>
      </c>
      <c r="I20" s="67">
        <v>408173385</v>
      </c>
      <c r="J20" s="67">
        <v>421218506</v>
      </c>
    </row>
    <row r="21" spans="1:10" ht="13.5" customHeight="1">
      <c r="A21" s="387" t="s">
        <v>734</v>
      </c>
      <c r="B21" s="387"/>
      <c r="C21" s="387"/>
      <c r="D21" s="387"/>
      <c r="E21" s="387"/>
      <c r="F21" s="387"/>
      <c r="G21" s="15">
        <v>13</v>
      </c>
      <c r="H21" s="16" t="s">
        <v>3005</v>
      </c>
      <c r="I21" s="67">
        <v>22560914</v>
      </c>
      <c r="J21" s="67">
        <v>24258873</v>
      </c>
    </row>
    <row r="22" spans="1:10" ht="13.5" customHeight="1">
      <c r="A22" s="387" t="s">
        <v>405</v>
      </c>
      <c r="B22" s="387"/>
      <c r="C22" s="387"/>
      <c r="D22" s="387"/>
      <c r="E22" s="387"/>
      <c r="F22" s="387"/>
      <c r="G22" s="15">
        <v>14</v>
      </c>
      <c r="H22" s="16" t="s">
        <v>3005</v>
      </c>
      <c r="I22" s="67">
        <v>1122203</v>
      </c>
      <c r="J22" s="67">
        <v>1511373</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t="s">
        <v>3005</v>
      </c>
      <c r="I24" s="67"/>
      <c r="J24" s="67">
        <v>1019482</v>
      </c>
    </row>
    <row r="25" spans="1:10" ht="13.5" customHeight="1">
      <c r="A25" s="387" t="s">
        <v>2692</v>
      </c>
      <c r="B25" s="387"/>
      <c r="C25" s="387"/>
      <c r="D25" s="387"/>
      <c r="E25" s="387"/>
      <c r="F25" s="387"/>
      <c r="G25" s="15">
        <v>17</v>
      </c>
      <c r="H25" s="16" t="s">
        <v>3005</v>
      </c>
      <c r="I25" s="67">
        <v>32408388</v>
      </c>
      <c r="J25" s="67">
        <v>17842717</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297995</v>
      </c>
      <c r="J28" s="66">
        <f>SUM(J29:J38)</f>
        <v>252842</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t="s">
        <v>3007</v>
      </c>
      <c r="I35" s="67">
        <v>297995</v>
      </c>
      <c r="J35" s="67">
        <v>252842</v>
      </c>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6945083</v>
      </c>
      <c r="J39" s="66">
        <f>SUM(J40:J43)</f>
        <v>5812221</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t="s">
        <v>3009</v>
      </c>
      <c r="I42" s="67">
        <v>6945083</v>
      </c>
      <c r="J42" s="67">
        <v>5812221</v>
      </c>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49232667</v>
      </c>
      <c r="J45" s="66">
        <f>J46+J54+J61+J71</f>
        <v>51224102</v>
      </c>
    </row>
    <row r="46" spans="1:10" ht="13.5" customHeight="1">
      <c r="A46" s="390" t="s">
        <v>1264</v>
      </c>
      <c r="B46" s="390"/>
      <c r="C46" s="390"/>
      <c r="D46" s="390"/>
      <c r="E46" s="390"/>
      <c r="F46" s="390"/>
      <c r="G46" s="15">
        <v>38</v>
      </c>
      <c r="H46" s="16"/>
      <c r="I46" s="66">
        <f>SUM(I47:I53)</f>
        <v>7474513</v>
      </c>
      <c r="J46" s="66">
        <f>SUM(J47:J53)</f>
        <v>8255392</v>
      </c>
    </row>
    <row r="47" spans="1:10" ht="13.5" customHeight="1">
      <c r="A47" s="387" t="s">
        <v>1892</v>
      </c>
      <c r="B47" s="387"/>
      <c r="C47" s="387"/>
      <c r="D47" s="387"/>
      <c r="E47" s="387"/>
      <c r="F47" s="387"/>
      <c r="G47" s="15">
        <v>39</v>
      </c>
      <c r="H47" s="16" t="s">
        <v>3008</v>
      </c>
      <c r="I47" s="67">
        <v>7474513</v>
      </c>
      <c r="J47" s="67">
        <v>8255392</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29988961</v>
      </c>
      <c r="J54" s="66">
        <f>SUM(J55:J60)</f>
        <v>28868145</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t="s">
        <v>3009</v>
      </c>
      <c r="I57" s="67">
        <v>26305756</v>
      </c>
      <c r="J57" s="67">
        <v>26189316</v>
      </c>
    </row>
    <row r="58" spans="1:10" ht="13.5" customHeight="1">
      <c r="A58" s="387" t="s">
        <v>2009</v>
      </c>
      <c r="B58" s="387"/>
      <c r="C58" s="387"/>
      <c r="D58" s="387"/>
      <c r="E58" s="387"/>
      <c r="F58" s="387"/>
      <c r="G58" s="15">
        <v>50</v>
      </c>
      <c r="H58" s="16" t="s">
        <v>3010</v>
      </c>
      <c r="I58" s="67">
        <v>119663</v>
      </c>
      <c r="J58" s="67">
        <v>78852</v>
      </c>
    </row>
    <row r="59" spans="1:10" ht="13.5" customHeight="1">
      <c r="A59" s="387" t="s">
        <v>2010</v>
      </c>
      <c r="B59" s="387"/>
      <c r="C59" s="387"/>
      <c r="D59" s="387"/>
      <c r="E59" s="387"/>
      <c r="F59" s="387"/>
      <c r="G59" s="15">
        <v>51</v>
      </c>
      <c r="H59" s="16" t="s">
        <v>3010</v>
      </c>
      <c r="I59" s="67">
        <v>474668</v>
      </c>
      <c r="J59" s="67">
        <v>244301</v>
      </c>
    </row>
    <row r="60" spans="1:10" ht="13.5" customHeight="1">
      <c r="A60" s="387" t="s">
        <v>1255</v>
      </c>
      <c r="B60" s="387"/>
      <c r="C60" s="387"/>
      <c r="D60" s="387"/>
      <c r="E60" s="387"/>
      <c r="F60" s="387"/>
      <c r="G60" s="15">
        <v>52</v>
      </c>
      <c r="H60" s="16" t="s">
        <v>3010</v>
      </c>
      <c r="I60" s="67">
        <v>3088874</v>
      </c>
      <c r="J60" s="67">
        <v>2355676</v>
      </c>
    </row>
    <row r="61" spans="1:10" ht="13.5" customHeight="1">
      <c r="A61" s="390" t="s">
        <v>1266</v>
      </c>
      <c r="B61" s="390"/>
      <c r="C61" s="390"/>
      <c r="D61" s="390"/>
      <c r="E61" s="390"/>
      <c r="F61" s="390"/>
      <c r="G61" s="15">
        <v>53</v>
      </c>
      <c r="H61" s="16"/>
      <c r="I61" s="66">
        <f>SUM(I62:I70)</f>
        <v>5000000</v>
      </c>
      <c r="J61" s="66">
        <f>SUM(J62:J70)</f>
        <v>5000000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t="s">
        <v>3011</v>
      </c>
      <c r="I69" s="67">
        <v>5000000</v>
      </c>
      <c r="J69" s="67">
        <v>5000000</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1730</v>
      </c>
      <c r="I71" s="67">
        <v>6769193</v>
      </c>
      <c r="J71" s="67">
        <v>9100565</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570296505</v>
      </c>
      <c r="J73" s="66">
        <f>J9+J10+J45+J72</f>
        <v>572310156</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t="s">
        <v>3012</v>
      </c>
      <c r="I76" s="66">
        <f>I77+I78+I79+I85+I86+I92+I95+I98</f>
        <v>155723895</v>
      </c>
      <c r="J76" s="66">
        <f>J77+J78+J79+J85+J86+J92+J95+J98</f>
        <v>158377689</v>
      </c>
      <c r="L76" s="2" t="s">
        <v>1209</v>
      </c>
    </row>
    <row r="77" spans="1:10" ht="13.5" customHeight="1">
      <c r="A77" s="390" t="s">
        <v>1857</v>
      </c>
      <c r="B77" s="390"/>
      <c r="C77" s="390"/>
      <c r="D77" s="390"/>
      <c r="E77" s="390"/>
      <c r="F77" s="390"/>
      <c r="G77" s="15">
        <v>68</v>
      </c>
      <c r="H77" s="16" t="s">
        <v>3012</v>
      </c>
      <c r="I77" s="67">
        <v>159483800</v>
      </c>
      <c r="J77" s="67">
        <v>159483800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480024</v>
      </c>
      <c r="J92" s="66">
        <f>J93-J94</f>
        <v>-3759905</v>
      </c>
      <c r="L92" s="2" t="s">
        <v>1209</v>
      </c>
    </row>
    <row r="93" spans="1:10" ht="13.5" customHeight="1">
      <c r="A93" s="387" t="s">
        <v>2830</v>
      </c>
      <c r="B93" s="387"/>
      <c r="C93" s="387"/>
      <c r="D93" s="387"/>
      <c r="E93" s="387"/>
      <c r="F93" s="387"/>
      <c r="G93" s="15">
        <v>84</v>
      </c>
      <c r="H93" s="16" t="s">
        <v>3012</v>
      </c>
      <c r="I93" s="67">
        <v>480024</v>
      </c>
      <c r="J93" s="67"/>
    </row>
    <row r="94" spans="1:10" ht="13.5" customHeight="1">
      <c r="A94" s="387" t="s">
        <v>2831</v>
      </c>
      <c r="B94" s="387"/>
      <c r="C94" s="387"/>
      <c r="D94" s="387"/>
      <c r="E94" s="387"/>
      <c r="F94" s="387"/>
      <c r="G94" s="15">
        <v>85</v>
      </c>
      <c r="H94" s="16" t="s">
        <v>3012</v>
      </c>
      <c r="I94" s="67"/>
      <c r="J94" s="67">
        <v>3759905</v>
      </c>
    </row>
    <row r="95" spans="1:12" ht="13.5" customHeight="1">
      <c r="A95" s="390" t="s">
        <v>2487</v>
      </c>
      <c r="B95" s="390"/>
      <c r="C95" s="390"/>
      <c r="D95" s="390"/>
      <c r="E95" s="390"/>
      <c r="F95" s="390"/>
      <c r="G95" s="15">
        <v>86</v>
      </c>
      <c r="H95" s="16"/>
      <c r="I95" s="66">
        <f>I96-I97</f>
        <v>-4239929</v>
      </c>
      <c r="J95" s="66">
        <f>J96-J97</f>
        <v>2653794</v>
      </c>
      <c r="L95" s="2" t="s">
        <v>1209</v>
      </c>
    </row>
    <row r="96" spans="1:10" ht="13.5" customHeight="1">
      <c r="A96" s="387" t="s">
        <v>1257</v>
      </c>
      <c r="B96" s="387"/>
      <c r="C96" s="387"/>
      <c r="D96" s="387"/>
      <c r="E96" s="387"/>
      <c r="F96" s="387"/>
      <c r="G96" s="15">
        <v>87</v>
      </c>
      <c r="H96" s="16" t="s">
        <v>3012</v>
      </c>
      <c r="I96" s="67"/>
      <c r="J96" s="67">
        <v>2653794</v>
      </c>
    </row>
    <row r="97" spans="1:10" ht="13.5" customHeight="1">
      <c r="A97" s="387" t="s">
        <v>2832</v>
      </c>
      <c r="B97" s="387"/>
      <c r="C97" s="387"/>
      <c r="D97" s="387"/>
      <c r="E97" s="387"/>
      <c r="F97" s="387"/>
      <c r="G97" s="15">
        <v>88</v>
      </c>
      <c r="H97" s="16" t="s">
        <v>3012</v>
      </c>
      <c r="I97" s="67">
        <v>4239929</v>
      </c>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1597877</v>
      </c>
      <c r="J99" s="66">
        <f>SUM(J100:J105)</f>
        <v>680538</v>
      </c>
    </row>
    <row r="100" spans="1:10" ht="13.5" customHeight="1">
      <c r="A100" s="387" t="s">
        <v>0</v>
      </c>
      <c r="B100" s="387"/>
      <c r="C100" s="387"/>
      <c r="D100" s="387"/>
      <c r="E100" s="387"/>
      <c r="F100" s="387"/>
      <c r="G100" s="15">
        <v>91</v>
      </c>
      <c r="H100" s="16" t="s">
        <v>3001</v>
      </c>
      <c r="I100" s="67">
        <v>1274516</v>
      </c>
      <c r="J100" s="67">
        <v>680538</v>
      </c>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t="s">
        <v>3001</v>
      </c>
      <c r="I102" s="67">
        <v>323361</v>
      </c>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487752</v>
      </c>
      <c r="J106" s="66">
        <f>SUM(J107:J117)</f>
        <v>1484913</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t="s">
        <v>3013</v>
      </c>
      <c r="I112" s="67">
        <v>487752</v>
      </c>
      <c r="J112" s="67">
        <v>1484913</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20765889</v>
      </c>
      <c r="J118" s="66">
        <f>SUM(J119:J132)</f>
        <v>19481148</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t="s">
        <v>3014</v>
      </c>
      <c r="I124" s="67">
        <v>383545</v>
      </c>
      <c r="J124" s="67">
        <v>636517</v>
      </c>
    </row>
    <row r="125" spans="1:10" ht="13.5" customHeight="1">
      <c r="A125" s="387" t="s">
        <v>2016</v>
      </c>
      <c r="B125" s="387"/>
      <c r="C125" s="387"/>
      <c r="D125" s="387"/>
      <c r="E125" s="387"/>
      <c r="F125" s="387"/>
      <c r="G125" s="15">
        <v>116</v>
      </c>
      <c r="H125" s="16" t="s">
        <v>3016</v>
      </c>
      <c r="I125" s="67">
        <v>1877911</v>
      </c>
      <c r="J125" s="67">
        <v>1693086</v>
      </c>
    </row>
    <row r="126" spans="1:10" ht="13.5" customHeight="1">
      <c r="A126" s="387" t="s">
        <v>2017</v>
      </c>
      <c r="B126" s="387"/>
      <c r="C126" s="387"/>
      <c r="D126" s="387"/>
      <c r="E126" s="387"/>
      <c r="F126" s="387"/>
      <c r="G126" s="15">
        <v>117</v>
      </c>
      <c r="H126" s="16" t="s">
        <v>3015</v>
      </c>
      <c r="I126" s="67">
        <v>6007363</v>
      </c>
      <c r="J126" s="67">
        <v>6293017</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3016</v>
      </c>
      <c r="I128" s="67">
        <v>1685023</v>
      </c>
      <c r="J128" s="67">
        <v>1607475</v>
      </c>
    </row>
    <row r="129" spans="1:10" ht="13.5" customHeight="1">
      <c r="A129" s="387" t="s">
        <v>2023</v>
      </c>
      <c r="B129" s="387"/>
      <c r="C129" s="387"/>
      <c r="D129" s="387"/>
      <c r="E129" s="387"/>
      <c r="F129" s="387"/>
      <c r="G129" s="15">
        <v>120</v>
      </c>
      <c r="H129" s="16" t="s">
        <v>3016</v>
      </c>
      <c r="I129" s="67">
        <v>905062</v>
      </c>
      <c r="J129" s="67">
        <v>864496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t="s">
        <v>3016</v>
      </c>
      <c r="I132" s="67">
        <v>9906985</v>
      </c>
      <c r="J132" s="67">
        <v>8386557</v>
      </c>
    </row>
    <row r="133" spans="1:10" ht="24.75" customHeight="1">
      <c r="A133" s="385" t="s">
        <v>593</v>
      </c>
      <c r="B133" s="385"/>
      <c r="C133" s="385"/>
      <c r="D133" s="385"/>
      <c r="E133" s="385"/>
      <c r="F133" s="385"/>
      <c r="G133" s="15">
        <v>124</v>
      </c>
      <c r="H133" s="16" t="s">
        <v>3017</v>
      </c>
      <c r="I133" s="67">
        <v>391721092</v>
      </c>
      <c r="J133" s="67">
        <v>392285868</v>
      </c>
    </row>
    <row r="134" spans="1:10" ht="13.5" customHeight="1">
      <c r="A134" s="385" t="s">
        <v>360</v>
      </c>
      <c r="B134" s="385"/>
      <c r="C134" s="385"/>
      <c r="D134" s="385"/>
      <c r="E134" s="385"/>
      <c r="F134" s="385"/>
      <c r="G134" s="15">
        <v>125</v>
      </c>
      <c r="H134" s="16"/>
      <c r="I134" s="66">
        <f>I76+I99+I106+I118+I133</f>
        <v>570296505</v>
      </c>
      <c r="J134" s="66">
        <f>J76+J99+J106+J118+J133</f>
        <v>572310156</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77:J77 I96:J97 I99:J135 I93:J94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0" activePane="bottomLeft" state="frozen"/>
      <selection pane="topLeft" activeCell="A1" sqref="A1"/>
      <selection pane="bottomLeft" activeCell="J70" sqref="J7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89406825003; VODOVOD D.O.O. ZADAR</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1</v>
      </c>
      <c r="R7" s="69" t="s">
        <v>634</v>
      </c>
    </row>
    <row r="8" spans="1:18" s="2" customFormat="1" ht="14.25" customHeight="1">
      <c r="A8" s="414" t="s">
        <v>2491</v>
      </c>
      <c r="B8" s="414"/>
      <c r="C8" s="414"/>
      <c r="D8" s="414"/>
      <c r="E8" s="414"/>
      <c r="F8" s="414"/>
      <c r="G8" s="13">
        <v>127</v>
      </c>
      <c r="H8" s="14"/>
      <c r="I8" s="80">
        <f>SUM(I9:I13)</f>
        <v>82533875</v>
      </c>
      <c r="J8" s="80">
        <f>SUM(J9:J13)</f>
        <v>89606829</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t="s">
        <v>2997</v>
      </c>
      <c r="I10" s="67">
        <v>57815574</v>
      </c>
      <c r="J10" s="67">
        <v>63564002</v>
      </c>
    </row>
    <row r="11" spans="1:10" s="2" customFormat="1" ht="14.25" customHeight="1">
      <c r="A11" s="387" t="s">
        <v>1086</v>
      </c>
      <c r="B11" s="387"/>
      <c r="C11" s="387"/>
      <c r="D11" s="387"/>
      <c r="E11" s="387"/>
      <c r="F11" s="387"/>
      <c r="G11" s="15">
        <v>130</v>
      </c>
      <c r="H11" s="16" t="s">
        <v>2998</v>
      </c>
      <c r="I11" s="67">
        <v>1856415</v>
      </c>
      <c r="J11" s="67">
        <v>2173760</v>
      </c>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t="s">
        <v>2998</v>
      </c>
      <c r="I13" s="67">
        <v>22861886</v>
      </c>
      <c r="J13" s="67">
        <v>23869067</v>
      </c>
    </row>
    <row r="14" spans="1:10" s="2" customFormat="1" ht="14.25" customHeight="1">
      <c r="A14" s="385" t="s">
        <v>2492</v>
      </c>
      <c r="B14" s="385"/>
      <c r="C14" s="385"/>
      <c r="D14" s="385"/>
      <c r="E14" s="385"/>
      <c r="F14" s="385"/>
      <c r="G14" s="15">
        <v>133</v>
      </c>
      <c r="H14" s="16"/>
      <c r="I14" s="66">
        <f>I15+I16+I20+I24+I25+I26+I29+I36</f>
        <v>87327530</v>
      </c>
      <c r="J14" s="66">
        <f>J15+J16+J20+J24+J25+J26+J29+J36</f>
        <v>87582442</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33549898</v>
      </c>
      <c r="J16" s="66">
        <f>SUM(J17:J19)</f>
        <v>34484514</v>
      </c>
    </row>
    <row r="17" spans="1:10" s="2" customFormat="1" ht="14.25" customHeight="1">
      <c r="A17" s="413" t="s">
        <v>1273</v>
      </c>
      <c r="B17" s="413"/>
      <c r="C17" s="413"/>
      <c r="D17" s="413"/>
      <c r="E17" s="413"/>
      <c r="F17" s="413"/>
      <c r="G17" s="15">
        <v>136</v>
      </c>
      <c r="H17" s="16" t="s">
        <v>2999</v>
      </c>
      <c r="I17" s="67">
        <v>24090535</v>
      </c>
      <c r="J17" s="67">
        <v>25028195</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t="s">
        <v>2999</v>
      </c>
      <c r="I19" s="67">
        <v>9459363</v>
      </c>
      <c r="J19" s="67">
        <v>9456319</v>
      </c>
    </row>
    <row r="20" spans="1:10" s="2" customFormat="1" ht="14.25" customHeight="1">
      <c r="A20" s="387" t="s">
        <v>2494</v>
      </c>
      <c r="B20" s="387"/>
      <c r="C20" s="387"/>
      <c r="D20" s="387"/>
      <c r="E20" s="387"/>
      <c r="F20" s="387"/>
      <c r="G20" s="15">
        <v>139</v>
      </c>
      <c r="H20" s="16"/>
      <c r="I20" s="66">
        <f>SUM(I21:I23)</f>
        <v>31487594</v>
      </c>
      <c r="J20" s="66">
        <f>SUM(J21:J23)</f>
        <v>30798123</v>
      </c>
    </row>
    <row r="21" spans="1:10" s="2" customFormat="1" ht="14.25" customHeight="1">
      <c r="A21" s="413" t="s">
        <v>960</v>
      </c>
      <c r="B21" s="413"/>
      <c r="C21" s="413"/>
      <c r="D21" s="413"/>
      <c r="E21" s="413"/>
      <c r="F21" s="413"/>
      <c r="G21" s="15">
        <v>140</v>
      </c>
      <c r="H21" s="16" t="s">
        <v>3000</v>
      </c>
      <c r="I21" s="67">
        <v>21569540</v>
      </c>
      <c r="J21" s="67">
        <v>21555547</v>
      </c>
    </row>
    <row r="22" spans="1:10" s="2" customFormat="1" ht="14.25" customHeight="1">
      <c r="A22" s="413" t="s">
        <v>1883</v>
      </c>
      <c r="B22" s="413"/>
      <c r="C22" s="413"/>
      <c r="D22" s="413"/>
      <c r="E22" s="413"/>
      <c r="F22" s="413"/>
      <c r="G22" s="15">
        <v>141</v>
      </c>
      <c r="H22" s="16" t="s">
        <v>3000</v>
      </c>
      <c r="I22" s="67">
        <v>6049277</v>
      </c>
      <c r="J22" s="67">
        <v>5543949</v>
      </c>
    </row>
    <row r="23" spans="1:10" s="2" customFormat="1" ht="14.25" customHeight="1">
      <c r="A23" s="413" t="s">
        <v>1884</v>
      </c>
      <c r="B23" s="413"/>
      <c r="C23" s="413"/>
      <c r="D23" s="413"/>
      <c r="E23" s="413"/>
      <c r="F23" s="413"/>
      <c r="G23" s="15">
        <v>142</v>
      </c>
      <c r="H23" s="16" t="s">
        <v>3000</v>
      </c>
      <c r="I23" s="67">
        <v>3868777</v>
      </c>
      <c r="J23" s="67">
        <v>3698627</v>
      </c>
    </row>
    <row r="24" spans="1:10" s="2" customFormat="1" ht="14.25" customHeight="1">
      <c r="A24" s="387" t="s">
        <v>1006</v>
      </c>
      <c r="B24" s="387"/>
      <c r="C24" s="387"/>
      <c r="D24" s="387"/>
      <c r="E24" s="387"/>
      <c r="F24" s="387"/>
      <c r="G24" s="15">
        <v>143</v>
      </c>
      <c r="H24" s="16"/>
      <c r="I24" s="67">
        <v>17591280</v>
      </c>
      <c r="J24" s="67">
        <v>18305284</v>
      </c>
    </row>
    <row r="25" spans="1:10" s="2" customFormat="1" ht="14.25" customHeight="1">
      <c r="A25" s="387" t="s">
        <v>1007</v>
      </c>
      <c r="B25" s="387"/>
      <c r="C25" s="387"/>
      <c r="D25" s="387"/>
      <c r="E25" s="387"/>
      <c r="F25" s="387"/>
      <c r="G25" s="15">
        <v>144</v>
      </c>
      <c r="H25" s="16" t="s">
        <v>3001</v>
      </c>
      <c r="I25" s="67">
        <v>1885379</v>
      </c>
      <c r="J25" s="67">
        <v>2118591</v>
      </c>
    </row>
    <row r="26" spans="1:12" s="2" customFormat="1" ht="14.25" customHeight="1">
      <c r="A26" s="387" t="s">
        <v>2495</v>
      </c>
      <c r="B26" s="387"/>
      <c r="C26" s="387"/>
      <c r="D26" s="387"/>
      <c r="E26" s="387"/>
      <c r="F26" s="387"/>
      <c r="G26" s="15">
        <v>145</v>
      </c>
      <c r="H26" s="16"/>
      <c r="I26" s="66">
        <f>SUM(I27:I28)</f>
        <v>1030289</v>
      </c>
      <c r="J26" s="66">
        <f>SUM(J27:J28)</f>
        <v>765333</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t="s">
        <v>3001</v>
      </c>
      <c r="I28" s="67">
        <v>1030289</v>
      </c>
      <c r="J28" s="67">
        <v>765333</v>
      </c>
      <c r="L28" s="2" t="s">
        <v>1209</v>
      </c>
    </row>
    <row r="29" spans="1:12" s="2" customFormat="1" ht="14.25" customHeight="1">
      <c r="A29" s="387" t="s">
        <v>2496</v>
      </c>
      <c r="B29" s="387"/>
      <c r="C29" s="387"/>
      <c r="D29" s="387"/>
      <c r="E29" s="387"/>
      <c r="F29" s="387"/>
      <c r="G29" s="15">
        <v>148</v>
      </c>
      <c r="H29" s="16"/>
      <c r="I29" s="66">
        <f>SUM(I30:I35)</f>
        <v>1597877</v>
      </c>
      <c r="J29" s="66">
        <f>SUM(J30:J35)</f>
        <v>680538</v>
      </c>
      <c r="L29" s="2" t="s">
        <v>1209</v>
      </c>
    </row>
    <row r="30" spans="1:12" s="2" customFormat="1" ht="14.25" customHeight="1">
      <c r="A30" s="413" t="s">
        <v>1277</v>
      </c>
      <c r="B30" s="413"/>
      <c r="C30" s="413"/>
      <c r="D30" s="413"/>
      <c r="E30" s="413"/>
      <c r="F30" s="413"/>
      <c r="G30" s="15">
        <v>149</v>
      </c>
      <c r="H30" s="16" t="s">
        <v>3001</v>
      </c>
      <c r="I30" s="67">
        <v>1274516</v>
      </c>
      <c r="J30" s="67">
        <v>680538</v>
      </c>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t="s">
        <v>3001</v>
      </c>
      <c r="I32" s="67">
        <v>323361</v>
      </c>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t="s">
        <v>3001</v>
      </c>
      <c r="I36" s="67">
        <v>185213</v>
      </c>
      <c r="J36" s="67">
        <v>430059</v>
      </c>
    </row>
    <row r="37" spans="1:10" s="2" customFormat="1" ht="14.25" customHeight="1">
      <c r="A37" s="385" t="s">
        <v>2497</v>
      </c>
      <c r="B37" s="385"/>
      <c r="C37" s="385"/>
      <c r="D37" s="385"/>
      <c r="E37" s="385"/>
      <c r="F37" s="385"/>
      <c r="G37" s="15">
        <v>156</v>
      </c>
      <c r="H37" s="16"/>
      <c r="I37" s="66">
        <f>SUM(I38:I47)</f>
        <v>747739</v>
      </c>
      <c r="J37" s="66">
        <f>SUM(J38:J47)</f>
        <v>731301</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t="s">
        <v>3002</v>
      </c>
      <c r="I44" s="67">
        <v>747739</v>
      </c>
      <c r="J44" s="67">
        <v>731301</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194013</v>
      </c>
      <c r="J48" s="66">
        <f>SUM(J49:J55)</f>
        <v>101894</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t="s">
        <v>3003</v>
      </c>
      <c r="I51" s="67">
        <v>45882</v>
      </c>
      <c r="J51" s="67">
        <v>53684</v>
      </c>
    </row>
    <row r="52" spans="1:10" s="2" customFormat="1" ht="14.25" customHeight="1">
      <c r="A52" s="408" t="s">
        <v>1090</v>
      </c>
      <c r="B52" s="408"/>
      <c r="C52" s="408"/>
      <c r="D52" s="408"/>
      <c r="E52" s="408"/>
      <c r="F52" s="408"/>
      <c r="G52" s="15">
        <v>171</v>
      </c>
      <c r="H52" s="16" t="s">
        <v>3003</v>
      </c>
      <c r="I52" s="67">
        <v>16590</v>
      </c>
      <c r="J52" s="67">
        <v>3056</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t="s">
        <v>3003</v>
      </c>
      <c r="I54" s="67">
        <v>131541</v>
      </c>
      <c r="J54" s="67">
        <v>45154</v>
      </c>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83281614</v>
      </c>
      <c r="J60" s="66">
        <f>J8+J37+J56+J57</f>
        <v>90338130</v>
      </c>
    </row>
    <row r="61" spans="1:10" s="2" customFormat="1" ht="14.25" customHeight="1">
      <c r="A61" s="385" t="s">
        <v>2500</v>
      </c>
      <c r="B61" s="385"/>
      <c r="C61" s="385"/>
      <c r="D61" s="385"/>
      <c r="E61" s="385"/>
      <c r="F61" s="385"/>
      <c r="G61" s="15">
        <v>180</v>
      </c>
      <c r="H61" s="16"/>
      <c r="I61" s="66">
        <f>I14+I48+I58+I59</f>
        <v>87521543</v>
      </c>
      <c r="J61" s="66">
        <f>J14+J48+J58+J59</f>
        <v>87684336</v>
      </c>
    </row>
    <row r="62" spans="1:12" s="2" customFormat="1" ht="14.25" customHeight="1">
      <c r="A62" s="385" t="s">
        <v>2501</v>
      </c>
      <c r="B62" s="385"/>
      <c r="C62" s="385"/>
      <c r="D62" s="385"/>
      <c r="E62" s="385"/>
      <c r="F62" s="385"/>
      <c r="G62" s="15">
        <v>181</v>
      </c>
      <c r="H62" s="16" t="s">
        <v>3004</v>
      </c>
      <c r="I62" s="66">
        <f>I60-I61</f>
        <v>-4239929</v>
      </c>
      <c r="J62" s="66">
        <f>J60-J61</f>
        <v>2653794</v>
      </c>
      <c r="L62" s="2" t="s">
        <v>1209</v>
      </c>
    </row>
    <row r="63" spans="1:10" s="2" customFormat="1" ht="14.25" customHeight="1">
      <c r="A63" s="408" t="s">
        <v>2502</v>
      </c>
      <c r="B63" s="408"/>
      <c r="C63" s="408"/>
      <c r="D63" s="408"/>
      <c r="E63" s="408"/>
      <c r="F63" s="408"/>
      <c r="G63" s="15">
        <v>182</v>
      </c>
      <c r="H63" s="16"/>
      <c r="I63" s="66">
        <f>IF(I60&gt;I61,I60-I61,0)</f>
        <v>0</v>
      </c>
      <c r="J63" s="66">
        <f>IF(J60&gt;J61,J60-J61,0)</f>
        <v>2653794</v>
      </c>
    </row>
    <row r="64" spans="1:10" s="2" customFormat="1" ht="14.25" customHeight="1">
      <c r="A64" s="408" t="s">
        <v>2503</v>
      </c>
      <c r="B64" s="408"/>
      <c r="C64" s="408"/>
      <c r="D64" s="408"/>
      <c r="E64" s="408"/>
      <c r="F64" s="408"/>
      <c r="G64" s="15">
        <v>183</v>
      </c>
      <c r="H64" s="16"/>
      <c r="I64" s="66">
        <f>IF(I61&gt;I60,I61-I60,0)</f>
        <v>4239929</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t="s">
        <v>3004</v>
      </c>
      <c r="I66" s="66">
        <f>I62-I65</f>
        <v>-4239929</v>
      </c>
      <c r="J66" s="66">
        <f>J62-J65</f>
        <v>2653794</v>
      </c>
      <c r="L66" s="2" t="s">
        <v>1209</v>
      </c>
    </row>
    <row r="67" spans="1:10" s="2" customFormat="1" ht="14.25" customHeight="1">
      <c r="A67" s="408" t="s">
        <v>2505</v>
      </c>
      <c r="B67" s="408"/>
      <c r="C67" s="408"/>
      <c r="D67" s="408"/>
      <c r="E67" s="408"/>
      <c r="F67" s="408"/>
      <c r="G67" s="15">
        <v>186</v>
      </c>
      <c r="H67" s="16"/>
      <c r="I67" s="66">
        <f>IF(I66&gt;0,I66,0)</f>
        <v>0</v>
      </c>
      <c r="J67" s="66">
        <f>IF(J66&gt;0,J66,0)</f>
        <v>2653794</v>
      </c>
    </row>
    <row r="68" spans="1:10" s="2" customFormat="1" ht="14.25" customHeight="1">
      <c r="A68" s="412" t="s">
        <v>2506</v>
      </c>
      <c r="B68" s="412"/>
      <c r="C68" s="412"/>
      <c r="D68" s="412"/>
      <c r="E68" s="412"/>
      <c r="F68" s="412"/>
      <c r="G68" s="17">
        <v>187</v>
      </c>
      <c r="H68" s="18"/>
      <c r="I68" s="81">
        <f>IF(I66&lt;0,-I66,0)</f>
        <v>4239929</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v>-4239929</v>
      </c>
      <c r="J89" s="73">
        <v>2653794</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-4239929</v>
      </c>
      <c r="J109" s="83">
        <f>J89+J108</f>
        <v>2653794</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6" activePane="bottomLeft" state="frozen"/>
      <selection pane="topLeft" activeCell="A1" sqref="A1"/>
      <selection pane="bottomLeft" activeCell="I79" sqref="I79:J8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89406825003; VODOVOD D.O.O. ZADAR</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tabSelected="1" zoomScalePageLayoutView="0" workbookViewId="0" topLeftCell="A1">
      <pane ySplit="1" topLeftCell="A2" activePane="bottomLeft" state="frozen"/>
      <selection pane="topLeft" activeCell="A1" sqref="A1"/>
      <selection pane="bottomLeft" activeCell="H61" sqref="H6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36" t="s">
        <v>1102</v>
      </c>
      <c r="B2" s="437"/>
      <c r="C2" s="437"/>
      <c r="D2" s="437"/>
      <c r="E2" s="437"/>
      <c r="F2" s="437"/>
      <c r="G2" s="437"/>
      <c r="H2" s="437"/>
      <c r="I2" s="458"/>
      <c r="J2" s="392" t="s">
        <v>1212</v>
      </c>
      <c r="Q2" s="70">
        <f>IF(OR(MIN(I8:I60)&lt;0,MAX(I8:I60)&gt;0),1,0)</f>
        <v>1</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1</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89406825003; VODOVOD D.O.O. ZADAR</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t="s">
        <v>3004</v>
      </c>
      <c r="I9" s="138">
        <v>-4239929</v>
      </c>
      <c r="J9" s="138">
        <v>2653794</v>
      </c>
    </row>
    <row r="10" spans="1:10" s="2" customFormat="1" ht="13.5" customHeight="1">
      <c r="A10" s="408" t="s">
        <v>71</v>
      </c>
      <c r="B10" s="408"/>
      <c r="C10" s="408"/>
      <c r="D10" s="408"/>
      <c r="E10" s="408"/>
      <c r="F10" s="408"/>
      <c r="G10" s="15">
        <v>2</v>
      </c>
      <c r="H10" s="19"/>
      <c r="I10" s="121">
        <f>SUM(I11:I18)</f>
        <v>6362325</v>
      </c>
      <c r="J10" s="121">
        <f>SUM(J11:J18)</f>
        <v>3694933</v>
      </c>
    </row>
    <row r="11" spans="1:12" s="2" customFormat="1" ht="13.5" customHeight="1">
      <c r="A11" s="448" t="s">
        <v>1543</v>
      </c>
      <c r="B11" s="448"/>
      <c r="C11" s="448"/>
      <c r="D11" s="448"/>
      <c r="E11" s="448"/>
      <c r="F11" s="448"/>
      <c r="G11" s="15">
        <v>3</v>
      </c>
      <c r="H11" s="19" t="s">
        <v>3005</v>
      </c>
      <c r="I11" s="122">
        <v>17591280</v>
      </c>
      <c r="J11" s="122">
        <v>18305284</v>
      </c>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t="s">
        <v>3007</v>
      </c>
      <c r="I13" s="122">
        <v>131541</v>
      </c>
      <c r="J13" s="122">
        <v>45154</v>
      </c>
    </row>
    <row r="14" spans="1:12" s="2" customFormat="1" ht="13.5" customHeight="1">
      <c r="A14" s="448" t="s">
        <v>1544</v>
      </c>
      <c r="B14" s="448"/>
      <c r="C14" s="448"/>
      <c r="D14" s="448"/>
      <c r="E14" s="448"/>
      <c r="F14" s="448"/>
      <c r="G14" s="15">
        <v>6</v>
      </c>
      <c r="H14" s="19" t="s">
        <v>3002</v>
      </c>
      <c r="I14" s="122">
        <v>-579096</v>
      </c>
      <c r="J14" s="122">
        <v>-564664</v>
      </c>
      <c r="L14" s="2" t="s">
        <v>1209</v>
      </c>
    </row>
    <row r="15" spans="1:12" s="2" customFormat="1" ht="13.5" customHeight="1">
      <c r="A15" s="448" t="s">
        <v>1545</v>
      </c>
      <c r="B15" s="448"/>
      <c r="C15" s="448"/>
      <c r="D15" s="448"/>
      <c r="E15" s="448"/>
      <c r="F15" s="448"/>
      <c r="G15" s="15">
        <v>7</v>
      </c>
      <c r="H15" s="19" t="s">
        <v>3003</v>
      </c>
      <c r="I15" s="122">
        <v>45882</v>
      </c>
      <c r="J15" s="122">
        <v>53684</v>
      </c>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t="s">
        <v>3018</v>
      </c>
      <c r="I18" s="122">
        <v>-10827282</v>
      </c>
      <c r="J18" s="122">
        <v>-14144525</v>
      </c>
    </row>
    <row r="19" spans="1:14" s="2" customFormat="1" ht="24.75" customHeight="1">
      <c r="A19" s="411" t="s">
        <v>2439</v>
      </c>
      <c r="B19" s="411"/>
      <c r="C19" s="411"/>
      <c r="D19" s="411"/>
      <c r="E19" s="411"/>
      <c r="F19" s="411"/>
      <c r="G19" s="15">
        <v>11</v>
      </c>
      <c r="H19" s="19"/>
      <c r="I19" s="121">
        <f>I9+I10</f>
        <v>2122396</v>
      </c>
      <c r="J19" s="121">
        <f>J9+J10</f>
        <v>6348727</v>
      </c>
      <c r="N19" s="2">
        <f>IF(MIN(NT_I!I11:J11,NT_I!I15:J15,NT_I!I30:J36,NT_I!I59:J60)&lt;0,1,0)</f>
        <v>0</v>
      </c>
    </row>
    <row r="20" spans="1:10" s="2" customFormat="1" ht="13.5" customHeight="1">
      <c r="A20" s="408" t="s">
        <v>21</v>
      </c>
      <c r="B20" s="408"/>
      <c r="C20" s="408"/>
      <c r="D20" s="408"/>
      <c r="E20" s="408"/>
      <c r="F20" s="408"/>
      <c r="G20" s="15">
        <v>12</v>
      </c>
      <c r="H20" s="19"/>
      <c r="I20" s="121">
        <f>SUM(I21:I24)</f>
        <v>5884870</v>
      </c>
      <c r="J20" s="121">
        <f>SUM(J21:J24)</f>
        <v>3703316</v>
      </c>
    </row>
    <row r="21" spans="1:10" s="2" customFormat="1" ht="13.5" customHeight="1">
      <c r="A21" s="448" t="s">
        <v>2353</v>
      </c>
      <c r="B21" s="448"/>
      <c r="C21" s="448"/>
      <c r="D21" s="448"/>
      <c r="E21" s="448"/>
      <c r="F21" s="448"/>
      <c r="G21" s="15">
        <v>13</v>
      </c>
      <c r="H21" s="19" t="s">
        <v>3015</v>
      </c>
      <c r="I21" s="122">
        <v>-4298491</v>
      </c>
      <c r="J21" s="122">
        <v>285655</v>
      </c>
    </row>
    <row r="22" spans="1:10" s="2" customFormat="1" ht="13.5" customHeight="1">
      <c r="A22" s="448" t="s">
        <v>2354</v>
      </c>
      <c r="B22" s="448"/>
      <c r="C22" s="448"/>
      <c r="D22" s="448"/>
      <c r="E22" s="448"/>
      <c r="F22" s="448"/>
      <c r="G22" s="15">
        <v>14</v>
      </c>
      <c r="H22" s="19" t="s">
        <v>3009</v>
      </c>
      <c r="I22" s="122">
        <v>8732911</v>
      </c>
      <c r="J22" s="122">
        <v>4242585</v>
      </c>
    </row>
    <row r="23" spans="1:10" s="2" customFormat="1" ht="13.5" customHeight="1">
      <c r="A23" s="448" t="s">
        <v>2355</v>
      </c>
      <c r="B23" s="448"/>
      <c r="C23" s="448"/>
      <c r="D23" s="448"/>
      <c r="E23" s="448"/>
      <c r="F23" s="448"/>
      <c r="G23" s="15">
        <v>15</v>
      </c>
      <c r="H23" s="19" t="s">
        <v>3008</v>
      </c>
      <c r="I23" s="122">
        <v>192517</v>
      </c>
      <c r="J23" s="122">
        <v>-780879</v>
      </c>
    </row>
    <row r="24" spans="1:10" s="2" customFormat="1" ht="13.5" customHeight="1">
      <c r="A24" s="448" t="s">
        <v>2356</v>
      </c>
      <c r="B24" s="448"/>
      <c r="C24" s="448"/>
      <c r="D24" s="448"/>
      <c r="E24" s="448"/>
      <c r="F24" s="448"/>
      <c r="G24" s="15">
        <v>16</v>
      </c>
      <c r="H24" s="19" t="s">
        <v>3019</v>
      </c>
      <c r="I24" s="122">
        <v>1257933</v>
      </c>
      <c r="J24" s="122">
        <v>-44045</v>
      </c>
    </row>
    <row r="25" spans="1:10" s="2" customFormat="1" ht="13.5" customHeight="1">
      <c r="A25" s="411" t="s">
        <v>2936</v>
      </c>
      <c r="B25" s="411"/>
      <c r="C25" s="411"/>
      <c r="D25" s="411"/>
      <c r="E25" s="411"/>
      <c r="F25" s="411"/>
      <c r="G25" s="15">
        <v>17</v>
      </c>
      <c r="H25" s="19"/>
      <c r="I25" s="121">
        <f>I19+I20</f>
        <v>8007266</v>
      </c>
      <c r="J25" s="121">
        <f>J19+J20</f>
        <v>10052043</v>
      </c>
    </row>
    <row r="26" spans="1:12" s="2" customFormat="1" ht="13.5" customHeight="1">
      <c r="A26" s="408" t="s">
        <v>1787</v>
      </c>
      <c r="B26" s="408"/>
      <c r="C26" s="408"/>
      <c r="D26" s="408"/>
      <c r="E26" s="408"/>
      <c r="F26" s="408"/>
      <c r="G26" s="15">
        <v>18</v>
      </c>
      <c r="H26" s="19" t="s">
        <v>3002</v>
      </c>
      <c r="I26" s="122">
        <v>-45882</v>
      </c>
      <c r="J26" s="122">
        <v>-53684</v>
      </c>
      <c r="L26" s="2" t="s">
        <v>1209</v>
      </c>
    </row>
    <row r="27" spans="1:10" s="2" customFormat="1" ht="13.5" customHeight="1">
      <c r="A27" s="408" t="s">
        <v>1788</v>
      </c>
      <c r="B27" s="408"/>
      <c r="C27" s="408"/>
      <c r="D27" s="408"/>
      <c r="E27" s="408"/>
      <c r="F27" s="408"/>
      <c r="G27" s="15">
        <v>19</v>
      </c>
      <c r="H27" s="19" t="s">
        <v>3004</v>
      </c>
      <c r="I27" s="122">
        <v>-382244</v>
      </c>
      <c r="J27" s="122">
        <v>-118480</v>
      </c>
    </row>
    <row r="28" spans="1:10" s="2" customFormat="1" ht="13.5" customHeight="1">
      <c r="A28" s="453" t="s">
        <v>70</v>
      </c>
      <c r="B28" s="453"/>
      <c r="C28" s="453"/>
      <c r="D28" s="453"/>
      <c r="E28" s="453"/>
      <c r="F28" s="453"/>
      <c r="G28" s="17">
        <v>20</v>
      </c>
      <c r="H28" s="20"/>
      <c r="I28" s="123">
        <f>SUM(I25:I27)</f>
        <v>7579140</v>
      </c>
      <c r="J28" s="123">
        <f>SUM(J25:J27)</f>
        <v>9879879</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v>266054</v>
      </c>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t="s">
        <v>3017</v>
      </c>
      <c r="I35" s="73">
        <v>20980131</v>
      </c>
      <c r="J35" s="73">
        <v>11551681</v>
      </c>
      <c r="L35" s="2" t="s">
        <v>2525</v>
      </c>
    </row>
    <row r="36" spans="1:12" s="2" customFormat="1" ht="13.5" customHeight="1">
      <c r="A36" s="411" t="s">
        <v>2935</v>
      </c>
      <c r="B36" s="411"/>
      <c r="C36" s="411"/>
      <c r="D36" s="411"/>
      <c r="E36" s="411"/>
      <c r="F36" s="411"/>
      <c r="G36" s="15">
        <v>27</v>
      </c>
      <c r="H36" s="19"/>
      <c r="I36" s="82">
        <f>SUM(I30:I35)</f>
        <v>21246185</v>
      </c>
      <c r="J36" s="82">
        <f>SUM(J30:J35)</f>
        <v>11551681</v>
      </c>
      <c r="L36" s="2" t="s">
        <v>2525</v>
      </c>
    </row>
    <row r="37" spans="1:12" s="2" customFormat="1" ht="13.5" customHeight="1">
      <c r="A37" s="408" t="s">
        <v>66</v>
      </c>
      <c r="B37" s="408"/>
      <c r="C37" s="408"/>
      <c r="D37" s="408"/>
      <c r="E37" s="408"/>
      <c r="F37" s="408"/>
      <c r="G37" s="15">
        <v>28</v>
      </c>
      <c r="H37" s="19" t="s">
        <v>3005</v>
      </c>
      <c r="I37" s="73">
        <v>-31449477</v>
      </c>
      <c r="J37" s="73">
        <v>-20350320</v>
      </c>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-31449477</v>
      </c>
      <c r="J42" s="82">
        <f>SUM(J37:J41)</f>
        <v>-20350320</v>
      </c>
      <c r="L42" s="2" t="s">
        <v>1209</v>
      </c>
    </row>
    <row r="43" spans="1:10" s="2" customFormat="1" ht="13.5" customHeight="1">
      <c r="A43" s="453" t="s">
        <v>2923</v>
      </c>
      <c r="B43" s="453"/>
      <c r="C43" s="453"/>
      <c r="D43" s="453"/>
      <c r="E43" s="453"/>
      <c r="F43" s="453"/>
      <c r="G43" s="17">
        <v>34</v>
      </c>
      <c r="H43" s="20"/>
      <c r="I43" s="83">
        <f>I36+I42</f>
        <v>-10203292</v>
      </c>
      <c r="J43" s="83">
        <f>J36+J42</f>
        <v>-8798639</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t="s">
        <v>3020</v>
      </c>
      <c r="I48" s="73"/>
      <c r="J48" s="73">
        <v>2318750</v>
      </c>
      <c r="L48" s="2" t="s">
        <v>2525</v>
      </c>
    </row>
    <row r="49" spans="1:12" s="2" customFormat="1" ht="13.5" customHeight="1">
      <c r="A49" s="411" t="s">
        <v>2934</v>
      </c>
      <c r="B49" s="411"/>
      <c r="C49" s="411"/>
      <c r="D49" s="411"/>
      <c r="E49" s="411"/>
      <c r="F49" s="411"/>
      <c r="G49" s="15">
        <v>39</v>
      </c>
      <c r="H49" s="19"/>
      <c r="I49" s="82">
        <f>SUM(I45:I48)</f>
        <v>0</v>
      </c>
      <c r="J49" s="82">
        <f>SUM(J45:J48)</f>
        <v>2318750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t="s">
        <v>3020</v>
      </c>
      <c r="I52" s="73">
        <v>-632821</v>
      </c>
      <c r="J52" s="73">
        <v>-1068617</v>
      </c>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-632821</v>
      </c>
      <c r="J55" s="82">
        <f>SUM(J50:J54)</f>
        <v>-1068617</v>
      </c>
      <c r="L55" s="2" t="s">
        <v>1209</v>
      </c>
    </row>
    <row r="56" spans="1:10" s="2" customFormat="1" ht="13.5" customHeight="1">
      <c r="A56" s="409" t="s">
        <v>209</v>
      </c>
      <c r="B56" s="409"/>
      <c r="C56" s="409"/>
      <c r="D56" s="409"/>
      <c r="E56" s="409"/>
      <c r="F56" s="409"/>
      <c r="G56" s="15">
        <v>46</v>
      </c>
      <c r="H56" s="19"/>
      <c r="I56" s="82">
        <f>I49+I55</f>
        <v>-632821</v>
      </c>
      <c r="J56" s="82">
        <f>J49+J55</f>
        <v>1250133</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-3256973</v>
      </c>
      <c r="J58" s="82">
        <f>J28+J43+J56+J57</f>
        <v>2331373</v>
      </c>
    </row>
    <row r="59" spans="1:12" s="2" customFormat="1" ht="13.5" customHeight="1">
      <c r="A59" s="409" t="s">
        <v>2810</v>
      </c>
      <c r="B59" s="409"/>
      <c r="C59" s="409"/>
      <c r="D59" s="409"/>
      <c r="E59" s="409"/>
      <c r="F59" s="409"/>
      <c r="G59" s="15">
        <v>49</v>
      </c>
      <c r="H59" s="19" t="s">
        <v>1730</v>
      </c>
      <c r="I59" s="73">
        <v>10026166</v>
      </c>
      <c r="J59" s="73">
        <v>6769193</v>
      </c>
      <c r="L59" s="2" t="s">
        <v>2525</v>
      </c>
    </row>
    <row r="60" spans="1:18" s="2" customFormat="1" ht="13.5" customHeight="1">
      <c r="A60" s="453" t="s">
        <v>2560</v>
      </c>
      <c r="B60" s="453"/>
      <c r="C60" s="453"/>
      <c r="D60" s="453"/>
      <c r="E60" s="453"/>
      <c r="F60" s="453"/>
      <c r="G60" s="17">
        <v>50</v>
      </c>
      <c r="H60" s="20" t="s">
        <v>1730</v>
      </c>
      <c r="I60" s="83">
        <f>I59+I58</f>
        <v>6769193</v>
      </c>
      <c r="J60" s="83">
        <f>J59+J58</f>
        <v>9100566</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5" activePane="bottomLeft" state="frozen"/>
      <selection pane="topLeft" activeCell="A1" sqref="A1"/>
      <selection pane="bottomLeft" activeCell="A9" sqref="A9:F9"/>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89406825003; VODOVOD D.O.O. ZADAR</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41" activePane="bottomLeft" state="frozen"/>
      <selection pane="topLeft" activeCell="A1" sqref="A1"/>
      <selection pane="bottomLeft" activeCell="H67" sqref="H67"/>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89406825003; VODOVOD D.O.O. ZADAR</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1</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t="s">
        <v>3012</v>
      </c>
      <c r="I10" s="21">
        <v>159483800</v>
      </c>
      <c r="J10" s="21"/>
      <c r="K10" s="21"/>
      <c r="L10" s="21"/>
      <c r="M10" s="21"/>
      <c r="N10" s="21"/>
      <c r="O10" s="21"/>
      <c r="P10" s="21"/>
      <c r="Q10" s="21"/>
      <c r="R10" s="21"/>
      <c r="S10" s="21"/>
      <c r="T10" s="21"/>
      <c r="U10" s="21"/>
      <c r="V10" s="21">
        <v>427459</v>
      </c>
      <c r="W10" s="21">
        <v>52565</v>
      </c>
      <c r="X10" s="202">
        <f>SUM(I10:L10)-M10+SUM(N10:W10)</f>
        <v>159963824</v>
      </c>
      <c r="Y10" s="21"/>
      <c r="Z10" s="202">
        <f>Y10+X10</f>
        <v>159963824</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t="s">
        <v>3012</v>
      </c>
      <c r="I13" s="202">
        <f>SUM(I10:I12)</f>
        <v>159483800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427459</v>
      </c>
      <c r="W13" s="202">
        <f t="shared" si="2"/>
        <v>52565</v>
      </c>
      <c r="X13" s="202">
        <f t="shared" si="0"/>
        <v>159963824</v>
      </c>
      <c r="Y13" s="202">
        <f>SUM(Y10:Y12)</f>
        <v>0</v>
      </c>
      <c r="Z13" s="202">
        <f t="shared" si="1"/>
        <v>159963824</v>
      </c>
      <c r="AD13" s="136"/>
      <c r="AE13" s="136"/>
      <c r="AF13" s="136"/>
      <c r="AG13" s="135"/>
    </row>
    <row r="14" spans="1:33" s="3" customFormat="1" ht="13.5" customHeight="1">
      <c r="A14" s="461" t="s">
        <v>502</v>
      </c>
      <c r="B14" s="461"/>
      <c r="C14" s="461"/>
      <c r="D14" s="461"/>
      <c r="E14" s="461"/>
      <c r="F14" s="461"/>
      <c r="G14" s="199">
        <v>5</v>
      </c>
      <c r="H14" s="128" t="s">
        <v>3012</v>
      </c>
      <c r="I14" s="212"/>
      <c r="J14" s="212"/>
      <c r="K14" s="212"/>
      <c r="L14" s="212"/>
      <c r="M14" s="212"/>
      <c r="N14" s="212"/>
      <c r="O14" s="212"/>
      <c r="P14" s="212"/>
      <c r="Q14" s="212"/>
      <c r="R14" s="212"/>
      <c r="S14" s="212"/>
      <c r="T14" s="212"/>
      <c r="U14" s="212"/>
      <c r="V14" s="212"/>
      <c r="W14" s="21">
        <v>-4239929</v>
      </c>
      <c r="X14" s="202">
        <f t="shared" si="0"/>
        <v>-4239929</v>
      </c>
      <c r="Y14" s="21"/>
      <c r="Z14" s="202">
        <f t="shared" si="1"/>
        <v>-4239929</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t="s">
        <v>3012</v>
      </c>
      <c r="I31" s="21"/>
      <c r="J31" s="21"/>
      <c r="K31" s="21"/>
      <c r="L31" s="21"/>
      <c r="M31" s="21"/>
      <c r="N31" s="21"/>
      <c r="O31" s="21"/>
      <c r="P31" s="21"/>
      <c r="Q31" s="21"/>
      <c r="R31" s="21"/>
      <c r="S31" s="21"/>
      <c r="T31" s="21"/>
      <c r="U31" s="21"/>
      <c r="V31" s="21">
        <v>52565</v>
      </c>
      <c r="W31" s="21">
        <v>-52565</v>
      </c>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t="s">
        <v>3012</v>
      </c>
      <c r="I33" s="201">
        <f>SUM(I13:I32)</f>
        <v>159483800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480024</v>
      </c>
      <c r="W33" s="201">
        <f t="shared" si="3"/>
        <v>-4239929</v>
      </c>
      <c r="X33" s="201">
        <f t="shared" si="0"/>
        <v>155723895</v>
      </c>
      <c r="Y33" s="201">
        <f>SUM(Y13:Y32)</f>
        <v>0</v>
      </c>
      <c r="Z33" s="201">
        <f t="shared" si="1"/>
        <v>155723895</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t="s">
        <v>3012</v>
      </c>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-4239929</v>
      </c>
      <c r="X36" s="202">
        <f t="shared" si="7"/>
        <v>-4239929</v>
      </c>
      <c r="Y36" s="202">
        <f t="shared" si="7"/>
        <v>0</v>
      </c>
      <c r="Z36" s="202">
        <f t="shared" si="7"/>
        <v>-4239929</v>
      </c>
      <c r="AD36" s="135"/>
      <c r="AE36" s="130"/>
    </row>
    <row r="37" spans="1:31" s="3" customFormat="1" ht="24" customHeight="1">
      <c r="A37" s="462" t="s">
        <v>2550</v>
      </c>
      <c r="B37" s="462"/>
      <c r="C37" s="462"/>
      <c r="D37" s="462"/>
      <c r="E37" s="462"/>
      <c r="F37" s="462"/>
      <c r="G37" s="200">
        <v>27</v>
      </c>
      <c r="H37" s="129" t="s">
        <v>3012</v>
      </c>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52565</v>
      </c>
      <c r="W37" s="201">
        <f t="shared" si="9"/>
        <v>-52565</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t="s">
        <v>3012</v>
      </c>
      <c r="I39" s="21">
        <v>159483800</v>
      </c>
      <c r="J39" s="21"/>
      <c r="K39" s="21"/>
      <c r="L39" s="21"/>
      <c r="M39" s="21"/>
      <c r="N39" s="21"/>
      <c r="O39" s="21"/>
      <c r="P39" s="21"/>
      <c r="Q39" s="21"/>
      <c r="R39" s="21"/>
      <c r="S39" s="21"/>
      <c r="T39" s="21"/>
      <c r="U39" s="21"/>
      <c r="V39" s="21">
        <v>480024</v>
      </c>
      <c r="W39" s="21">
        <v>-4239929</v>
      </c>
      <c r="X39" s="202">
        <f aca="true" t="shared" si="10" ref="X39:X62">SUM(I39:L39)-M39+SUM(N39:W39)</f>
        <v>155723895</v>
      </c>
      <c r="Y39" s="21"/>
      <c r="Z39" s="202">
        <f t="shared" si="1"/>
        <v>155723895</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t="s">
        <v>3012</v>
      </c>
      <c r="I42" s="202">
        <f aca="true" t="shared" si="11" ref="I42:W42">SUM(I39:I41)</f>
        <v>159483800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480024</v>
      </c>
      <c r="W42" s="202">
        <f t="shared" si="11"/>
        <v>-4239929</v>
      </c>
      <c r="X42" s="202">
        <f t="shared" si="10"/>
        <v>155723895</v>
      </c>
      <c r="Y42" s="202">
        <f>SUM(Y39:Y41)</f>
        <v>0</v>
      </c>
      <c r="Z42" s="202">
        <f>Y42+X42</f>
        <v>155723895</v>
      </c>
      <c r="AG42" s="135"/>
    </row>
    <row r="43" spans="1:33" ht="13.5" customHeight="1">
      <c r="A43" s="461" t="s">
        <v>502</v>
      </c>
      <c r="B43" s="461"/>
      <c r="C43" s="461"/>
      <c r="D43" s="461"/>
      <c r="E43" s="461"/>
      <c r="F43" s="461"/>
      <c r="G43" s="199">
        <v>32</v>
      </c>
      <c r="H43" s="128" t="s">
        <v>3012</v>
      </c>
      <c r="I43" s="212"/>
      <c r="J43" s="212"/>
      <c r="K43" s="212"/>
      <c r="L43" s="212"/>
      <c r="M43" s="212"/>
      <c r="N43" s="212"/>
      <c r="O43" s="212"/>
      <c r="P43" s="212"/>
      <c r="Q43" s="212"/>
      <c r="R43" s="212"/>
      <c r="S43" s="212"/>
      <c r="T43" s="212"/>
      <c r="U43" s="212"/>
      <c r="V43" s="212"/>
      <c r="W43" s="21">
        <v>2653794</v>
      </c>
      <c r="X43" s="202">
        <f t="shared" si="10"/>
        <v>2653794</v>
      </c>
      <c r="Y43" s="21"/>
      <c r="Z43" s="202">
        <f t="shared" si="1"/>
        <v>2653794</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t="s">
        <v>3012</v>
      </c>
      <c r="I60" s="21"/>
      <c r="J60" s="21"/>
      <c r="K60" s="21"/>
      <c r="L60" s="21"/>
      <c r="M60" s="21"/>
      <c r="N60" s="21"/>
      <c r="O60" s="21"/>
      <c r="P60" s="21"/>
      <c r="Q60" s="21"/>
      <c r="R60" s="21"/>
      <c r="S60" s="21"/>
      <c r="T60" s="21"/>
      <c r="U60" s="21"/>
      <c r="V60" s="21">
        <v>-4239929</v>
      </c>
      <c r="W60" s="21">
        <v>4239929</v>
      </c>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t="s">
        <v>3012</v>
      </c>
      <c r="I62" s="201">
        <f aca="true" t="shared" si="12" ref="I62:W62">SUM(I42:I61)</f>
        <v>159483800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-3759905</v>
      </c>
      <c r="W62" s="201">
        <f t="shared" si="12"/>
        <v>2653794</v>
      </c>
      <c r="X62" s="201">
        <f t="shared" si="10"/>
        <v>158377689</v>
      </c>
      <c r="Y62" s="201">
        <f>SUM(Y42:Y61)</f>
        <v>0</v>
      </c>
      <c r="Z62" s="201">
        <f t="shared" si="1"/>
        <v>158377689</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t="s">
        <v>3012</v>
      </c>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2653794</v>
      </c>
      <c r="X65" s="202">
        <f t="shared" si="16"/>
        <v>2653794</v>
      </c>
      <c r="Y65" s="202">
        <f t="shared" si="16"/>
        <v>0</v>
      </c>
      <c r="Z65" s="202">
        <f t="shared" si="16"/>
        <v>2653794</v>
      </c>
      <c r="AD65" s="135"/>
    </row>
    <row r="66" spans="1:30" ht="24" customHeight="1">
      <c r="A66" s="462" t="s">
        <v>497</v>
      </c>
      <c r="B66" s="462"/>
      <c r="C66" s="462"/>
      <c r="D66" s="462"/>
      <c r="E66" s="462"/>
      <c r="F66" s="462"/>
      <c r="G66" s="200">
        <v>54</v>
      </c>
      <c r="H66" s="129" t="s">
        <v>3012</v>
      </c>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-4239929</v>
      </c>
      <c r="W66" s="201">
        <f t="shared" si="18"/>
        <v>4239929</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2022-06-08T11:54:27Z</cp:lastPrinted>
  <dcterms:created xsi:type="dcterms:W3CDTF">2008-10-17T11:51:54Z</dcterms:created>
  <dcterms:modified xsi:type="dcterms:W3CDTF">2022-06-08T12:06:08Z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