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35" windowHeight="9840" firstSheet="2" activeTab="8"/>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<sst xmlns="http://schemas.openxmlformats.org/spreadsheetml/2006/main" count="3719" uniqueCount="2987">
  <si>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</si>
  <si>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</si>
  <si>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</si>
  <si>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</si>
  <si>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</si>
  <si>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</si>
  <si>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</si>
  <si>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</si>
  <si>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</si>
  <si>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</si>
  <si>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</si>
  <si>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</si>
  <si>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</si>
  <si>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</si>
  <si>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</si>
  <si>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</si>
  <si>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</si>
  <si>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</si>
  <si>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</si>
  <si>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</si>
  <si>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</si>
  <si>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</si>
  <si>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</si>
  <si>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</si>
  <si>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</si>
  <si>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</si>
  <si>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</si>
  <si>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</si>
  <si>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</si>
  <si>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</si>
  <si>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</si>
  <si>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</si>
  <si>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</si>
  <si>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</si>
  <si>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</si>
  <si>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</si>
  <si>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</si>
  <si>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</si>
  <si>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</si>
  <si>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</si>
  <si>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</si>
  <si>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</si>
  <si>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</si>
  <si>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</si>
  <si>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</si>
  <si>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</si>
  <si>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</si>
  <si>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</si>
  <si>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</si>
  <si>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</si>
  <si>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</si>
  <si>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</si>
  <si>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</si>
  <si>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</si>
  <si>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</si>
  <si>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</si>
  <si>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</si>
  <si>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</si>
  <si>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</si>
  <si>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</si>
  <si>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</si>
  <si>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</si>
  <si>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</si>
  <si>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</si>
  <si>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</si>
  <si>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</si>
  <si>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</si>
  <si>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</si>
  <si>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</si>
  <si>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</si>
  <si>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</si>
  <si>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</si>
  <si>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</si>
  <si>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</si>
  <si>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</si>
  <si>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</si>
  <si>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</si>
  <si>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</si>
  <si>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</si>
  <si>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</si>
  <si>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</si>
  <si>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</si>
  <si>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</si>
  <si>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</si>
  <si>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</si>
  <si>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</si>
  <si>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</si>
  <si>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</si>
  <si>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</si>
  <si>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</si>
  <si>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</si>
  <si>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</si>
  <si>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</si>
  <si>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</si>
  <si>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</si>
  <si>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</si>
  <si>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</si>
  <si>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</si>
  <si>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</si>
  <si>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</si>
  <si>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</si>
  <si>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</si>
  <si>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</si>
  <si>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</si>
  <si>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</si>
  <si>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</si>
  <si>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</si>
  <si>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</si>
  <si>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</si>
  <si>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</si>
  <si>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</si>
  <si>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</si>
  <si>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</si>
  <si>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</si>
  <si>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</si>
  <si>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</si>
  <si>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</si>
  <si>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</si>
  <si>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</si>
  <si>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</si>
  <si>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</si>
  <si>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</si>
  <si>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</si>
  <si>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</si>
  <si>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</si>
  <si>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</si>
  <si>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</si>
  <si>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</si>
  <si>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</si>
  <si>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</si>
  <si>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</si>
  <si>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</si>
  <si>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</si>
  <si>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</si>
  <si>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</si>
  <si>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</si>
  <si>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</si>
  <si>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</si>
  <si>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</si>
  <si>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</si>
  <si>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</si>
  <si>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</si>
  <si>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</si>
  <si>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</si>
  <si>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</si>
  <si>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</si>
  <si>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</si>
  <si>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</si>
  <si>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</si>
  <si>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</si>
  <si>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</si>
  <si>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</si>
  <si>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</si>
  <si>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</si>
  <si>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</si>
  <si>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</si>
  <si>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</si>
  <si>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</si>
  <si>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</si>
  <si>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</si>
  <si>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</si>
  <si>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</si>
  <si>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</si>
  <si>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</si>
  <si>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</si>
  <si>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</si>
  <si>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</si>
  <si>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</si>
  <si>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</si>
  <si>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</si>
  <si>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</si>
  <si>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</si>
  <si>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</si>
  <si>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</si>
  <si>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</si>
  <si>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</si>
  <si>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</si>
  <si>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</si>
  <si>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</si>
  <si>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</si>
  <si>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</si>
  <si>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</si>
  <si>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</si>
  <si>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</si>
  <si>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</si>
  <si>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</si>
  <si>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</si>
  <si>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</si>
  <si>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</si>
  <si>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</si>
  <si>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</si>
  <si>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</si>
  <si>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</si>
  <si>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</si>
  <si>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</si>
  <si>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</si>
  <si>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</si>
  <si>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</si>
  <si>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</si>
  <si>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</si>
  <si>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</si>
  <si>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</si>
  <si>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</si>
  <si>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</si>
  <si>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</si>
  <si>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</si>
  <si>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</si>
  <si>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</si>
  <si>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</si>
  <si>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</si>
  <si>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</si>
  <si>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</si>
  <si>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</si>
  <si>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</si>
  <si>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</si>
  <si>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</si>
  <si>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</si>
  <si>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</si>
  <si>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</si>
  <si>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</si>
  <si>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</si>
  <si>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</si>
  <si>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</si>
  <si>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</si>
  <si>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</si>
  <si>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</si>
  <si>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</si>
  <si>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</si>
  <si>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</si>
  <si>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</si>
  <si>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</si>
  <si>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</si>
  <si>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</si>
  <si>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</si>
  <si>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</si>
  <si>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</si>
  <si>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</si>
  <si>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</si>
  <si>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</si>
  <si>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</si>
  <si>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</si>
  <si>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</si>
  <si>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</si>
  <si>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</si>
  <si>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</si>
  <si>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</si>
  <si>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</si>
  <si>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</si>
  <si>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</si>
  <si>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</si>
  <si>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</si>
  <si>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</si>
  <si>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</si>
  <si>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</si>
  <si>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</si>
  <si>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</si>
  <si>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</si>
  <si>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</si>
  <si>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</si>
  <si>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</si>
  <si>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</si>
  <si>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</si>
  <si>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</si>
  <si>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</si>
  <si>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</si>
  <si>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</si>
  <si>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</si>
  <si>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</si>
  <si>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</si>
  <si>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</si>
  <si>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</si>
  <si>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</si>
  <si>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</si>
  <si>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</si>
  <si>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</si>
  <si>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</si>
  <si>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</si>
  <si>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</si>
  <si>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</si>
  <si>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</si>
  <si>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</si>
  <si>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</si>
  <si>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</si>
  <si>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</si>
  <si>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</si>
  <si>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</si>
  <si>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</si>
  <si>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</si>
  <si>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</si>
  <si>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</si>
  <si>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</si>
  <si>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</si>
  <si>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</si>
  <si>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</si>
  <si>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</si>
  <si>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</si>
  <si>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</si>
  <si>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</si>
  <si>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</si>
  <si>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</si>
  <si>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</si>
  <si>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</si>
  <si>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</si>
  <si>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</si>
  <si>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</si>
  <si>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</si>
  <si>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</si>
  <si>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</si>
  <si>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</si>
  <si>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</si>
  <si>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</si>
  <si>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</si>
  <si>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</si>
  <si>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</si>
  <si>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</si>
  <si>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</si>
  <si>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</si>
  <si>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</si>
  <si>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</si>
  <si>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</si>
  <si>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</si>
  <si>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</si>
  <si>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</si>
  <si>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</si>
  <si>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</si>
  <si>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</si>
  <si>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</si>
  <si>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</si>
  <si>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</si>
  <si>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</si>
  <si>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</si>
  <si>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</si>
  <si>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</si>
  <si>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</si>
  <si>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</si>
  <si>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</si>
  <si>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</si>
  <si>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</si>
  <si>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</si>
  <si>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</si>
  <si>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</si>
  <si>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</si>
  <si>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</si>
  <si>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</si>
  <si>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</si>
  <si>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</si>
  <si>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</si>
  <si>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</si>
  <si>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</si>
  <si>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</si>
  <si>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</si>
  <si>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</si>
  <si>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</si>
  <si>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</si>
  <si>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</si>
  <si>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</si>
  <si>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</si>
  <si>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</si>
  <si>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</si>
  <si>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</si>
  <si>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</si>
  <si>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</si>
  <si>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</si>
  <si>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</si>
  <si>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</si>
  <si>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</si>
  <si>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</si>
  <si>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</si>
  <si>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</si>
  <si>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</si>
  <si>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</si>
  <si>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</si>
  <si>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</si>
  <si>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</si>
  <si>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</si>
  <si>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</si>
  <si>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</si>
  <si>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</si>
  <si>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</si>
  <si>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</si>
  <si>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</si>
  <si>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</si>
  <si>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</si>
  <si>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</si>
  <si>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</si>
  <si>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</si>
  <si>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</si>
  <si>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</si>
  <si>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</si>
  <si>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</si>
  <si>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</si>
  <si>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</si>
  <si>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</si>
  <si>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</si>
  <si>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</si>
  <si>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</si>
  <si>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</si>
  <si>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</si>
  <si>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</si>
  <si>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</si>
  <si>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</si>
  <si>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</si>
  <si>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</si>
  <si>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</si>
  <si>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</si>
  <si>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</si>
  <si>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</si>
  <si>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</si>
  <si>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</si>
  <si>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</si>
  <si>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</si>
  <si>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</si>
  <si>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</si>
  <si>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</si>
  <si>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</si>
  <si>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</si>
  <si>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</si>
  <si>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</si>
  <si>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</si>
  <si>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</si>
  <si>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</si>
  <si>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</si>
  <si>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</si>
  <si>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</si>
  <si>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</si>
  <si>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</si>
  <si>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</si>
  <si>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</si>
  <si>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</si>
  <si>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</si>
  <si>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</si>
  <si>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</si>
  <si>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</si>
  <si>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</si>
  <si>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</si>
  <si>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</si>
  <si>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</si>
  <si>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</si>
  <si>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</si>
  <si>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</si>
  <si>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</si>
  <si>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</si>
  <si>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</si>
  <si>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</si>
  <si>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</si>
  <si>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</si>
  <si>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</si>
  <si>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</si>
  <si>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</si>
  <si>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</si>
  <si>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</si>
  <si>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</si>
  <si>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</si>
  <si>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</si>
  <si>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</si>
  <si>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</si>
  <si>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</si>
  <si>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</si>
  <si>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</si>
  <si>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</si>
  <si>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</si>
  <si>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</si>
  <si>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</si>
  <si>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</si>
  <si>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</si>
  <si>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</si>
  <si>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</si>
  <si>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</si>
  <si>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</si>
  <si>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</si>
  <si>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</si>
  <si>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</si>
  <si>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</si>
  <si>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</si>
  <si>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</si>
  <si>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</si>
  <si>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</si>
  <si>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</si>
  <si>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</si>
  <si>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</si>
  <si>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</si>
  <si>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</si>
  <si>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</si>
  <si>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</si>
  <si>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</si>
  <si>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</si>
  <si>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</si>
  <si>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</si>
  <si>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</si>
  <si>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</si>
  <si>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</si>
  <si>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</si>
  <si>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</si>
  <si>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</si>
  <si>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</si>
  <si>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</si>
  <si>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</si>
  <si>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</si>
  <si>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</si>
  <si>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</si>
  <si>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</si>
  <si>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</si>
  <si>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</si>
  <si>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</si>
  <si>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</si>
  <si>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</si>
  <si>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</si>
  <si>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</si>
  <si>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</si>
  <si>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</si>
  <si>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</si>
  <si>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</si>
  <si>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</si>
  <si>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</si>
  <si>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</si>
  <si>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</si>
  <si>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</si>
  <si>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</si>
  <si>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</si>
  <si>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</si>
  <si>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</si>
  <si>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</si>
  <si>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</si>
  <si>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</si>
  <si>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</si>
  <si>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</si>
  <si>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</si>
  <si>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</si>
  <si>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</si>
  <si>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</si>
  <si>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</si>
  <si>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</si>
  <si>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</si>
  <si>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</si>
  <si>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</si>
  <si>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</si>
  <si>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</si>
  <si>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</si>
  <si>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</si>
  <si>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</si>
  <si>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</si>
  <si>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</si>
  <si>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</si>
  <si>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</si>
  <si>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</si>
  <si>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</si>
  <si>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</si>
  <si>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</si>
  <si>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</si>
  <si>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</si>
  <si>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</si>
  <si>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</si>
  <si>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</si>
  <si>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</si>
  <si>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</si>
  <si>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</si>
  <si>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</si>
  <si>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</si>
  <si>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</si>
  <si>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</si>
  <si>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</si>
  <si>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</si>
  <si>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</si>
  <si>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</si>
  <si>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</si>
  <si>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</si>
  <si>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</si>
  <si>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</si>
  <si>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</si>
  <si>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</si>
  <si>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</si>
  <si>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</si>
  <si>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</si>
  <si>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</si>
  <si>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</si>
  <si>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</si>
  <si>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</si>
  <si>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</si>
  <si>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</si>
  <si>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</si>
  <si>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</si>
  <si>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</si>
  <si>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</si>
  <si>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</si>
  <si>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</si>
  <si>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</si>
  <si>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</si>
  <si>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</si>
  <si>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</si>
  <si>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</si>
  <si>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</si>
  <si>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</si>
  <si>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</si>
  <si>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</si>
  <si>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</si>
  <si>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</si>
  <si>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</si>
  <si>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</si>
  <si>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</si>
  <si>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</si>
  <si>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</si>
  <si>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</si>
  <si>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</si>
  <si>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</si>
  <si>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</si>
  <si>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</si>
  <si>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</si>
  <si>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</si>
  <si>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</si>
  <si>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</si>
  <si>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</si>
  <si>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</si>
  <si>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</si>
  <si>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</si>
  <si>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</si>
  <si>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</si>
  <si>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</si>
  <si>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</si>
  <si>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</si>
  <si>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</si>
  <si>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</si>
  <si>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</si>
  <si>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</si>
  <si>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</si>
  <si>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</si>
  <si>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</si>
  <si>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</si>
  <si>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</si>
  <si>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</si>
  <si>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</si>
  <si>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</si>
  <si>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</si>
  <si>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</si>
  <si>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</si>
  <si>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</si>
  <si>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</si>
  <si>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</si>
  <si>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</si>
  <si>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</si>
  <si>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</si>
  <si>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</si>
  <si>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</si>
  <si>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</si>
  <si>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</si>
  <si>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</si>
  <si>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</si>
  <si>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</si>
  <si>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</si>
  <si>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</si>
  <si>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</si>
  <si>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</si>
  <si>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</si>
  <si>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</si>
  <si>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</si>
  <si>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</si>
  <si>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</si>
  <si>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</si>
  <si>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</si>
  <si>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</si>
  <si>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</si>
  <si>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</si>
  <si>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</si>
  <si>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</si>
  <si>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</si>
  <si>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</si>
  <si>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</si>
  <si>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</si>
  <si>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</si>
  <si>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</si>
  <si>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</si>
  <si>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</si>
  <si>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</si>
  <si>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</si>
  <si>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</si>
  <si>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</si>
  <si>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</si>
  <si>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</si>
  <si>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</si>
  <si>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</si>
  <si>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</si>
  <si>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</si>
  <si>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</si>
  <si>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</si>
  <si>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</si>
  <si>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</si>
  <si>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</si>
  <si>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</si>
  <si>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</si>
  <si>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</si>
  <si>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</si>
  <si>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</si>
  <si>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</si>
  <si>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</si>
  <si>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</si>
  <si>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</si>
  <si>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</si>
  <si>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</si>
  <si>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</si>
  <si>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</si>
  <si>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</si>
  <si>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</si>
  <si>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</si>
  <si>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</si>
  <si>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</si>
  <si>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</si>
  <si>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</si>
  <si>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</si>
  <si>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</si>
  <si>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</si>
  <si>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</si>
  <si>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</si>
  <si>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</si>
  <si>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</si>
  <si>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</si>
  <si>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</si>
  <si>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</si>
  <si>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</si>
  <si>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</si>
  <si>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</si>
  <si>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</si>
  <si>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</si>
  <si>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</si>
  <si>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</si>
  <si>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</si>
  <si>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</si>
  <si>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</si>
  <si>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</si>
  <si>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</si>
  <si>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</si>
  <si>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</si>
  <si>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</si>
  <si>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</si>
  <si>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</si>
  <si>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</si>
  <si>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</si>
  <si>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</si>
  <si>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</si>
  <si>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</si>
  <si>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</si>
  <si>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</si>
  <si>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</si>
  <si>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</si>
  <si>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</si>
  <si>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</si>
  <si>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</si>
  <si>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</si>
  <si>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</si>
  <si>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</si>
  <si>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</si>
  <si>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</si>
  <si>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</si>
  <si>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</si>
  <si>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</si>
  <si>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</si>
  <si>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</si>
  <si>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</si>
  <si>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</si>
  <si>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</si>
  <si>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</si>
  <si>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</si>
  <si>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</si>
  <si>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</si>
  <si>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</si>
  <si>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</si>
  <si>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</si>
  <si>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</si>
  <si>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</si>
  <si>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</si>
  <si>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</si>
  <si>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</si>
  <si>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</si>
  <si>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</si>
  <si>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</si>
  <si>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</si>
  <si>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</si>
  <si>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</si>
  <si>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</si>
  <si>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</si>
  <si>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</si>
  <si>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</si>
  <si>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</si>
  <si>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</si>
  <si>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</si>
  <si>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</si>
  <si>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</si>
  <si>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</si>
  <si>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</si>
  <si>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</si>
  <si>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</si>
  <si>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</si>
  <si>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</si>
  <si>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</si>
  <si>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</si>
  <si>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</si>
  <si>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</si>
  <si>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</si>
  <si>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</si>
  <si>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</si>
  <si>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</si>
  <si>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</si>
  <si>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</si>
  <si>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</si>
  <si>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</si>
  <si>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</si>
  <si>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</si>
  <si>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</si>
  <si>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</si>
  <si>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</si>
  <si>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</si>
  <si>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</si>
  <si>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</si>
  <si>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</si>
  <si>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</si>
  <si>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</si>
  <si>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</si>
  <si>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</si>
  <si>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</si>
  <si>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</si>
  <si>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</si>
  <si>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</si>
  <si>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</si>
  <si>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</si>
  <si>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</si>
  <si>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</si>
  <si>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</si>
  <si>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</si>
  <si>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</si>
  <si>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</si>
  <si>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</si>
  <si>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</si>
  <si>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</si>
  <si>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</si>
  <si>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</si>
  <si>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</si>
  <si>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</si>
  <si>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</si>
  <si>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</si>
  <si>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</si>
  <si>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</si>
  <si>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</si>
  <si>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</si>
  <si>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</si>
  <si>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</si>
  <si>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</si>
  <si>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</si>
  <si>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</si>
  <si>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</si>
  <si>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</si>
  <si>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</si>
  <si>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</si>
  <si>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</si>
  <si>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</si>
  <si>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</si>
  <si>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</si>
  <si>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</si>
  <si>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</si>
  <si>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</si>
  <si>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</si>
  <si>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</si>
  <si>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</si>
  <si>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</si>
  <si>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</si>
  <si>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</si>
  <si>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</si>
  <si>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</si>
  <si>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</si>
  <si>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</si>
  <si>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</si>
  <si>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</si>
  <si>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</si>
  <si>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</si>
  <si>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</si>
  <si>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</si>
  <si>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</si>
  <si>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</si>
  <si>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</si>
  <si>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</si>
  <si>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</si>
  <si>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</si>
  <si>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</si>
  <si>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</si>
  <si>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</si>
  <si>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</si>
  <si>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</si>
  <si>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</si>
  <si>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</si>
  <si>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</si>
  <si>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</si>
  <si>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</si>
  <si>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</si>
  <si>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</si>
  <si>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</si>
  <si>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</si>
  <si>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</si>
  <si>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</si>
  <si>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</si>
  <si>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</si>
  <si>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</si>
  <si>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</si>
  <si>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</si>
  <si>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</si>
  <si>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</si>
  <si>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</si>
  <si>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</si>
  <si>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</si>
  <si>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</si>
  <si>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</si>
  <si>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</si>
  <si>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</si>
  <si>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</si>
  <si>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</si>
  <si>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</si>
  <si>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</si>
  <si>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</si>
  <si>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</si>
  <si>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</si>
  <si>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</si>
  <si>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</si>
  <si>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</si>
  <si>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</si>
  <si>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</si>
  <si>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</si>
  <si>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</si>
  <si>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</si>
  <si>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</si>
  <si>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</si>
  <si>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</si>
  <si>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</si>
  <si>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</si>
  <si>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</si>
  <si>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</si>
  <si>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</si>
  <si>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</si>
  <si>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</si>
  <si>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</si>
  <si>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</si>
  <si>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</si>
  <si>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</si>
  <si>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</si>
  <si>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</si>
  <si>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</si>
  <si>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</si>
  <si>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</si>
  <si>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</si>
  <si>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</si>
  <si>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</si>
  <si>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</si>
  <si>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</si>
  <si>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</si>
  <si>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</si>
  <si>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</si>
  <si>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</si>
  <si>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</si>
  <si>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</si>
  <si>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</si>
  <si>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</si>
  <si>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</si>
  <si>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</si>
  <si>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</si>
  <si>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</si>
  <si>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</si>
  <si>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</si>
  <si>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</si>
  <si>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</si>
  <si>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</si>
  <si>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</si>
  <si>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</si>
  <si>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</si>
  <si>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</si>
  <si>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</si>
  <si>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</si>
  <si>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</si>
  <si>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</si>
  <si>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</si>
  <si>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</si>
  <si>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</si>
  <si>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</si>
  <si>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</si>
  <si>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</si>
  <si>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</si>
  <si>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</si>
  <si>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</si>
  <si>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</si>
  <si>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</si>
  <si>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</si>
  <si>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</si>
  <si>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</si>
  <si>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</si>
  <si>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</si>
  <si>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</si>
  <si>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</si>
  <si>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</si>
  <si>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</si>
  <si>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</si>
  <si>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</si>
  <si>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</si>
  <si>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</si>
  <si>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</si>
  <si>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</si>
  <si>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</si>
  <si>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</si>
  <si>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</si>
  <si>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</si>
  <si>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</si>
  <si>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</si>
  <si>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</si>
  <si>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</si>
  <si>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</si>
  <si>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</si>
  <si>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</si>
  <si>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</si>
  <si>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</si>
  <si>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</si>
  <si>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</si>
  <si>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</si>
  <si>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</si>
  <si>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</si>
  <si>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</si>
  <si>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</si>
  <si>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</si>
  <si>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</si>
  <si>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</si>
  <si>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</si>
  <si>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</si>
  <si>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</si>
  <si>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</si>
  <si>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</si>
  <si>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</si>
  <si>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</si>
  <si>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</si>
  <si>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</si>
  <si>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</si>
  <si>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</si>
  <si>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</si>
  <si>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</si>
  <si>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</si>
  <si>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</si>
  <si>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</si>
  <si>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</si>
  <si>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</si>
  <si>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</si>
  <si>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</si>
  <si>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</si>
  <si>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</si>
  <si>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</si>
  <si>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</si>
  <si>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</si>
  <si>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</si>
  <si>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</si>
  <si>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</si>
  <si>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</si>
  <si>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</si>
  <si>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</si>
  <si>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</si>
  <si>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</si>
  <si>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</si>
  <si>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</si>
  <si>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</si>
  <si>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</si>
  <si>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</si>
  <si>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</si>
  <si>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</si>
  <si>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</si>
  <si>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</si>
  <si>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</si>
  <si>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</si>
  <si>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</si>
  <si>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</si>
  <si>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</si>
  <si>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</si>
  <si>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</si>
  <si>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</si>
  <si>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</si>
  <si>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</si>
  <si>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</si>
  <si>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</si>
  <si>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</si>
  <si>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</si>
  <si>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</si>
  <si>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</si>
  <si>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</si>
  <si>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</si>
  <si>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</si>
  <si>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</si>
  <si>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</si>
  <si>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</si>
  <si>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</si>
  <si>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</si>
  <si>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</si>
  <si>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</si>
  <si>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</si>
  <si>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</si>
  <si>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</si>
  <si>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</si>
  <si>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</si>
  <si>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</si>
  <si>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</si>
  <si>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</si>
  <si>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</si>
  <si>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</si>
  <si>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</si>
  <si>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</si>
  <si>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</si>
  <si>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</si>
  <si>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</si>
  <si>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</si>
  <si>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</si>
  <si>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</si>
  <si>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</si>
  <si>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</si>
  <si>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</si>
  <si>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</si>
  <si>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</si>
  <si>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</si>
  <si>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</si>
  <si>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</si>
  <si>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</si>
  <si>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</si>
  <si>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</si>
  <si>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</si>
  <si>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</si>
  <si>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</si>
  <si>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</si>
  <si>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</si>
  <si>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</si>
  <si>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</si>
  <si>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</si>
  <si>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</si>
  <si>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</si>
  <si>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</si>
  <si>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</si>
  <si>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</si>
  <si>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</si>
  <si>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</si>
  <si>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</si>
  <si>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</si>
  <si>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</si>
  <si>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</si>
  <si>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</si>
  <si>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</si>
  <si>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</si>
  <si>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</si>
  <si>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</si>
  <si>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</si>
  <si>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</si>
  <si>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</si>
  <si>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</si>
  <si>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</si>
  <si>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</si>
  <si>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</si>
  <si>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</si>
  <si>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</si>
  <si>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</si>
  <si>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</si>
  <si>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</si>
  <si>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</si>
  <si>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</si>
  <si>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</si>
  <si>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</si>
  <si>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</si>
  <si>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</si>
  <si>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</si>
  <si>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</si>
  <si>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</si>
  <si>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</si>
  <si>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</si>
  <si>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</si>
  <si>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</si>
  <si>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</si>
  <si>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</si>
  <si>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</si>
  <si>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</si>
  <si>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</si>
  <si>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</si>
  <si>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</si>
  <si>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</si>
  <si>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</si>
  <si>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</si>
  <si>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</si>
  <si>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</si>
  <si>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</si>
  <si>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</si>
  <si>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</si>
  <si>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</si>
  <si>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</si>
  <si>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</si>
  <si>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</si>
  <si>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</si>
  <si>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</si>
  <si>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</si>
  <si>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</si>
  <si>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</si>
  <si>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</si>
  <si>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</si>
  <si>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</si>
  <si>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</si>
  <si>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</si>
  <si>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</si>
  <si>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</si>
  <si>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</si>
  <si>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</si>
  <si>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</si>
  <si>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</si>
  <si>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</si>
  <si>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</si>
  <si>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</si>
  <si>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</si>
  <si>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</si>
  <si>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</si>
  <si>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</si>
  <si>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</si>
  <si>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</si>
  <si>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</si>
  <si>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</si>
  <si>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</si>
  <si>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</si>
  <si>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</si>
  <si>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</si>
  <si>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</si>
  <si>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</si>
  <si>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</si>
  <si>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</si>
  <si>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</si>
  <si>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</si>
  <si>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</si>
  <si>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</si>
  <si>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</si>
  <si>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</si>
  <si>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</si>
  <si>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</si>
  <si>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</si>
  <si>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</si>
  <si>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</si>
  <si>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</si>
  <si>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</si>
  <si>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</si>
  <si>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</si>
  <si>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</si>
  <si>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</si>
  <si>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</si>
  <si>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</si>
  <si>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</si>
  <si>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</si>
  <si>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</si>
  <si>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</si>
  <si>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</si>
  <si>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</si>
  <si>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</si>
  <si>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</si>
  <si>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</si>
  <si>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</si>
  <si>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</si>
  <si>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</si>
  <si>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</si>
  <si>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</si>
  <si>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</si>
  <si>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</si>
  <si>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</si>
  <si>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</si>
  <si>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</si>
  <si>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</si>
  <si>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</si>
  <si>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</si>
  <si>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</si>
  <si>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</si>
  <si>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</si>
  <si>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</si>
  <si>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</si>
  <si>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</si>
  <si>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</si>
  <si>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</si>
  <si>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</si>
  <si>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</si>
  <si>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</si>
  <si>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</si>
  <si>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</si>
  <si>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</si>
  <si>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</si>
  <si>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</si>
  <si>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</si>
  <si>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</si>
  <si>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</si>
  <si>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</si>
  <si>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</si>
  <si>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</si>
  <si>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</si>
  <si>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</si>
  <si>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</si>
  <si>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</si>
  <si>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</si>
  <si>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</si>
  <si>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</si>
  <si>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</si>
  <si>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</si>
  <si>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</si>
  <si>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</si>
  <si>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</si>
  <si>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</si>
  <si>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</si>
  <si>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</si>
  <si>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</si>
  <si>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</si>
  <si>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</si>
  <si>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</si>
  <si>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</si>
  <si>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</si>
  <si>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</si>
  <si>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</si>
  <si>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</si>
  <si>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</si>
  <si>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</si>
  <si>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</si>
  <si>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</si>
  <si>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</si>
  <si>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</si>
  <si>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</si>
  <si>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</si>
  <si>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</si>
  <si>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</si>
  <si>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</si>
  <si>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</si>
  <si>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</si>
  <si>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</si>
  <si>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</si>
  <si>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</si>
  <si>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</si>
  <si>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</si>
  <si>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</si>
  <si>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</si>
  <si>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</si>
  <si>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</si>
  <si>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</si>
  <si>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</si>
  <si>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</si>
  <si>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</si>
  <si>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</si>
  <si>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</si>
  <si>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</si>
  <si>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</si>
  <si>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</si>
  <si>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</si>
  <si>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</si>
  <si>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</si>
  <si>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</si>
  <si>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</si>
  <si>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</si>
  <si>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</si>
  <si>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</si>
  <si>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</si>
  <si>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</si>
  <si>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</si>
  <si>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</si>
  <si>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</si>
  <si>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</si>
  <si>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</si>
  <si>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</si>
  <si>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</si>
  <si>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</si>
  <si>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</si>
  <si>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</si>
  <si>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</si>
  <si>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</si>
  <si>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</si>
  <si>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</si>
  <si>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</si>
  <si>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</si>
  <si>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</si>
  <si>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</si>
  <si>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</si>
  <si>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</si>
  <si>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</si>
  <si>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</si>
  <si>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</si>
  <si>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</si>
  <si>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</si>
  <si>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</si>
  <si>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</si>
  <si>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</si>
  <si>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</si>
  <si>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</si>
  <si>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</si>
  <si>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</si>
  <si>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</si>
  <si>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</si>
  <si>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</si>
  <si>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</si>
  <si>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</si>
  <si>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</si>
  <si>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</si>
  <si>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</si>
  <si>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</si>
  <si>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</si>
  <si>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</si>
  <si>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</si>
  <si>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</si>
  <si>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</si>
  <si>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</si>
  <si>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</si>
  <si>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</si>
  <si>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</si>
  <si>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</si>
  <si>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</si>
  <si>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</si>
  <si>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</si>
  <si>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</si>
  <si>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</si>
  <si>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</si>
  <si>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</si>
  <si>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</si>
  <si>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</si>
  <si>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</si>
  <si>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</si>
  <si>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</si>
  <si>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</si>
  <si>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</si>
  <si>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</si>
  <si>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</si>
  <si>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</si>
  <si>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</si>
  <si>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</si>
  <si>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</si>
  <si>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</si>
  <si>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</si>
  <si>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</si>
  <si>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</si>
  <si>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</si>
  <si>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</si>
  <si>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</si>
  <si>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</si>
  <si>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</si>
  <si>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</si>
  <si>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</si>
  <si>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</si>
  <si>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</si>
  <si>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</si>
  <si>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</si>
  <si>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</si>
  <si>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</si>
  <si>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</si>
  <si>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</si>
  <si>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</si>
  <si>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</si>
  <si>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</si>
  <si>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</si>
  <si>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</si>
  <si>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</si>
  <si>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</si>
  <si>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</si>
  <si>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</si>
  <si>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</si>
  <si>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</si>
  <si>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</si>
  <si>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</si>
  <si>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</si>
  <si>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</si>
  <si>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</si>
  <si>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</si>
  <si>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</si>
  <si>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</si>
  <si>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</si>
  <si>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</si>
  <si>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</si>
  <si>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</si>
  <si>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</si>
  <si>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</si>
  <si>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</si>
  <si>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</si>
  <si>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</si>
  <si>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</si>
  <si>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</si>
  <si>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</si>
  <si>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</si>
  <si>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</si>
  <si>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</si>
  <si>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</si>
  <si>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</si>
  <si>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</si>
  <si>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</si>
  <si>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</si>
  <si>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</si>
  <si>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</si>
  <si>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</si>
  <si>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</si>
  <si>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</si>
  <si>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</si>
  <si>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</si>
  <si>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</si>
  <si>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</si>
  <si>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</si>
  <si>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</si>
  <si>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</si>
  <si>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</si>
  <si>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</si>
  <si>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</si>
  <si>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</si>
  <si>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</si>
  <si>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</si>
  <si>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</si>
  <si>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</si>
  <si>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</si>
  <si>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</si>
  <si>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</si>
  <si>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</si>
  <si>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</si>
  <si>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</si>
  <si>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</si>
  <si>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</si>
  <si>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</si>
  <si>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</si>
  <si>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</si>
  <si>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</si>
  <si>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</si>
  <si>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</si>
  <si>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</si>
  <si>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</si>
  <si>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</si>
  <si>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</si>
  <si>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</si>
  <si>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</si>
  <si>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</si>
  <si>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</si>
  <si>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</si>
  <si>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</si>
  <si>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</si>
  <si>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</si>
  <si>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</si>
  <si>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</si>
  <si>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</si>
  <si>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</si>
  <si>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</si>
  <si>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</si>
  <si>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</si>
  <si>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</si>
  <si>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</si>
  <si>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</si>
  <si>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</si>
  <si>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</si>
  <si>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</si>
  <si>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</si>
  <si>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</si>
  <si>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</si>
  <si>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</si>
  <si>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</si>
  <si>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</si>
  <si>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</si>
  <si>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</si>
  <si>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</si>
  <si>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</si>
  <si>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</si>
  <si>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</si>
  <si>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</si>
  <si>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</si>
  <si>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</si>
  <si>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</si>
  <si>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</si>
  <si>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</si>
  <si>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</si>
  <si>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</si>
  <si>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</si>
  <si>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</si>
  <si>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</si>
  <si>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</si>
  <si>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</si>
  <si>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</si>
  <si>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</si>
  <si>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</si>
  <si>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</si>
  <si>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</si>
  <si>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</si>
  <si>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</si>
  <si>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</si>
  <si>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</si>
  <si>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</si>
  <si>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</si>
  <si>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</si>
  <si>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</si>
  <si>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</si>
  <si>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</si>
  <si>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</si>
  <si>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</si>
  <si>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</si>
  <si>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</si>
  <si>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</si>
  <si>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</si>
  <si>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</si>
  <si>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</si>
  <si>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</si>
  <si>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</si>
  <si>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</si>
  <si>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</si>
  <si>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</si>
  <si>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</si>
  <si>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</si>
  <si>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</si>
  <si>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</si>
  <si>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</si>
  <si>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</si>
  <si>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</si>
  <si>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</si>
  <si>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</si>
  <si>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</si>
  <si>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</si>
  <si>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</si>
  <si>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</si>
  <si>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</si>
  <si>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</si>
  <si>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</si>
  <si>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</si>
  <si>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</si>
  <si>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</si>
  <si>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</si>
  <si>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</si>
  <si>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</si>
  <si>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</si>
  <si>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</si>
  <si>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</si>
  <si>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</si>
  <si>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</si>
  <si>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</si>
  <si>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</si>
  <si>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</si>
  <si>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</si>
  <si>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</si>
  <si>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</si>
  <si>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</si>
  <si>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</si>
  <si>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</si>
  <si>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</si>
  <si>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</si>
  <si>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</si>
  <si>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</si>
  <si>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</si>
  <si>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</si>
  <si>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</si>
  <si>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</si>
  <si>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</si>
  <si>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</si>
  <si>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</si>
  <si>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</si>
  <si>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</si>
  <si>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</si>
  <si>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</si>
  <si>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</si>
  <si>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</si>
  <si>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</si>
  <si>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</si>
  <si>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</si>
  <si>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</si>
  <si>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</si>
  <si>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</si>
  <si>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</si>
  <si>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</si>
  <si>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</si>
  <si>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</si>
  <si>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</si>
  <si>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</si>
  <si>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</si>
  <si>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</si>
  <si>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</si>
  <si>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</si>
  <si>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</si>
  <si>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</si>
  <si>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</si>
  <si>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</si>
  <si>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</si>
  <si>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</si>
  <si>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</si>
  <si>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</si>
  <si>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</si>
  <si>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</si>
  <si>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</si>
  <si>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</si>
  <si>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</si>
  <si>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</si>
  <si>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</si>
  <si>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</si>
  <si>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</si>
  <si>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</si>
  <si>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</si>
  <si>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</si>
  <si>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</si>
  <si>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</si>
  <si>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</si>
  <si>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</si>
  <si>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</si>
  <si>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</si>
  <si>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</si>
  <si>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</si>
  <si>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</si>
  <si>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</si>
  <si>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</si>
  <si>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</si>
  <si>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</si>
  <si>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</si>
  <si>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</si>
  <si>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</si>
  <si>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</si>
  <si>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</si>
  <si>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</si>
  <si>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</si>
  <si>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</si>
  <si>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</si>
  <si>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</si>
  <si>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</si>
  <si>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</si>
  <si>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</si>
  <si>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</si>
  <si>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</si>
  <si>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</si>
  <si>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</si>
  <si>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</si>
  <si>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</si>
  <si>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</si>
  <si>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</si>
  <si>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</si>
  <si>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</si>
  <si>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</si>
  <si>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</si>
  <si>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</si>
  <si>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</si>
  <si>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</si>
  <si>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</si>
  <si>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</si>
  <si>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</si>
  <si>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</si>
  <si>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</si>
  <si>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</si>
  <si>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</si>
  <si>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</si>
  <si>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</si>
  <si>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</si>
  <si>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</si>
  <si>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</si>
  <si>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</si>
  <si>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</si>
  <si>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</si>
  <si>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</si>
  <si>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</si>
  <si>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</si>
  <si>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</si>
  <si>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</si>
  <si>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</si>
  <si>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</si>
  <si>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</si>
  <si>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</si>
  <si>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</si>
  <si>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</si>
  <si>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</si>
  <si>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</si>
  <si>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</si>
  <si>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</si>
  <si>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</si>
  <si>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</si>
  <si>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</si>
  <si>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</si>
  <si>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</si>
  <si>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</si>
  <si>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</si>
  <si>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</si>
  <si>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</si>
  <si>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</si>
  <si>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</si>
  <si>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</si>
  <si>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</si>
  <si>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</si>
  <si>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</si>
  <si>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</si>
  <si>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</si>
  <si>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</si>
  <si>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</si>
  <si>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</si>
  <si>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</si>
  <si>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</si>
  <si>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</si>
  <si>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</si>
  <si>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</si>
  <si>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</si>
  <si>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</si>
  <si>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</si>
  <si>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</si>
  <si>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</si>
  <si>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</si>
  <si>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</si>
  <si>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</si>
  <si>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</si>
  <si>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</si>
  <si>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</si>
  <si>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</si>
  <si>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</si>
  <si>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</si>
  <si>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</si>
  <si>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</si>
  <si>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</si>
  <si>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</si>
  <si>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</si>
  <si>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</si>
  <si>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</si>
  <si>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</si>
  <si>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</si>
  <si>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</si>
  <si>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</si>
  <si>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</si>
  <si>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</si>
  <si>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</si>
  <si>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</si>
  <si>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</si>
  <si>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</si>
  <si>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</si>
  <si>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</si>
  <si>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</si>
  <si>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</si>
  <si>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</si>
  <si>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</si>
  <si>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</si>
  <si>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</si>
  <si>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</si>
  <si>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</si>
  <si>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</si>
  <si>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</si>
  <si>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</si>
  <si>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</si>
  <si>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</si>
  <si>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</si>
  <si>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</si>
  <si>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</si>
  <si>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</si>
  <si>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</si>
  <si>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</si>
  <si>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</si>
  <si>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</si>
  <si>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</si>
  <si>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</si>
  <si>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</si>
  <si>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</si>
  <si>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</si>
  <si>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</si>
  <si>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</si>
  <si>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</si>
  <si>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</si>
  <si>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</si>
  <si>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</si>
  <si>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</si>
  <si>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</si>
  <si>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</si>
  <si>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</si>
  <si>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</si>
  <si>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</si>
  <si>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</si>
  <si>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</si>
  <si>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</si>
  <si>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</si>
  <si>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</si>
  <si>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</si>
  <si>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</si>
  <si>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</si>
  <si>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</si>
  <si>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</si>
  <si>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</si>
  <si>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</si>
  <si>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</si>
  <si>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</si>
  <si>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</si>
  <si>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</si>
  <si>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</si>
  <si>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</si>
  <si>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</si>
  <si>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</si>
  <si>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</si>
  <si>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</si>
  <si>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</si>
  <si>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</si>
  <si>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</si>
  <si>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</si>
  <si>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</si>
  <si>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</si>
  <si>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</si>
  <si>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</si>
  <si>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</si>
  <si>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</si>
  <si>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</si>
  <si>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</si>
  <si>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</si>
  <si>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</si>
  <si>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</si>
  <si>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</si>
  <si>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</si>
  <si>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</si>
  <si>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</si>
  <si>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</si>
  <si>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</si>
  <si>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</si>
  <si>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</si>
  <si>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</si>
  <si>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</si>
  <si>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</si>
  <si>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</si>
  <si>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</si>
  <si>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</si>
  <si>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</si>
  <si>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</si>
  <si>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</si>
  <si>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</si>
  <si>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</si>
  <si>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</si>
  <si>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</si>
  <si>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</si>
  <si>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</si>
  <si>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</si>
  <si>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</si>
  <si>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</si>
  <si>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</si>
  <si>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</si>
  <si>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</si>
  <si>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</si>
  <si>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</si>
  <si>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</si>
  <si>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</si>
  <si>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</si>
  <si>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</si>
  <si>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</si>
  <si>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</si>
  <si>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</si>
  <si>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</si>
  <si>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</si>
  <si>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</si>
  <si>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</si>
  <si>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</si>
  <si>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</si>
  <si>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</si>
  <si>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</si>
  <si>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</si>
  <si>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</si>
  <si>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</si>
  <si>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</si>
  <si>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</si>
  <si>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</si>
  <si>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</si>
  <si>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</si>
  <si>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</si>
  <si>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</si>
  <si>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</si>
  <si>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</si>
  <si>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</si>
  <si>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</si>
  <si>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</si>
  <si>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</si>
  <si>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</si>
  <si>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</si>
  <si>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</si>
  <si>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</si>
  <si>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</si>
  <si>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</si>
  <si>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</si>
  <si>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</si>
  <si>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</si>
  <si>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</si>
  <si>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</si>
  <si>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</si>
  <si>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</si>
  <si>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</si>
  <si>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</si>
  <si>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</si>
  <si>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</si>
  <si>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</si>
  <si>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</si>
  <si>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</si>
  <si>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</si>
  <si>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</si>
  <si>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</si>
  <si>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</si>
  <si>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</si>
  <si>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</si>
  <si>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</si>
  <si>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</si>
  <si>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</si>
  <si>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</si>
  <si>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</si>
  <si>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</si>
  <si>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</si>
  <si>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</si>
  <si>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</si>
  <si>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</si>
  <si>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</si>
  <si>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</si>
  <si>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</si>
  <si>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</si>
  <si>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</si>
  <si>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</si>
  <si>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</si>
  <si>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</si>
  <si>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</si>
  <si>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</si>
  <si>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</si>
  <si>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</si>
  <si>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</si>
  <si>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</si>
  <si>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</si>
  <si>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</si>
  <si>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</si>
  <si>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</si>
  <si>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</si>
  <si>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</si>
  <si>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</si>
  <si>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</si>
  <si>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</si>
  <si>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</si>
  <si>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</si>
  <si>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</si>
  <si>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</si>
  <si>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</si>
  <si>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</si>
  <si>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</si>
  <si>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</si>
  <si>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</si>
  <si>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</si>
  <si>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</si>
  <si>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</si>
  <si>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</si>
  <si>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</si>
  <si>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</si>
  <si>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</si>
  <si>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</si>
  <si>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</si>
  <si>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</si>
  <si>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</si>
  <si>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</si>
  <si>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</si>
  <si>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</si>
  <si>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</si>
  <si>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</si>
  <si>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</si>
  <si>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</si>
  <si>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</si>
  <si>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</si>
  <si>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</si>
  <si>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</si>
  <si>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</si>
  <si>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</si>
  <si>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</si>
  <si>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</si>
  <si>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</si>
  <si>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</si>
  <si>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</si>
  <si>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</si>
  <si>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</si>
  <si>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</si>
  <si>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</si>
  <si>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</si>
  <si>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</si>
  <si>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</si>
  <si>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</si>
  <si>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</si>
  <si>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</si>
  <si>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</si>
  <si>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</si>
  <si>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</si>
  <si>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</si>
  <si>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</si>
  <si>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</si>
  <si>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</si>
  <si>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</si>
  <si>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</si>
  <si>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</si>
  <si>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</si>
  <si>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</si>
  <si>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</si>
  <si>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</si>
  <si>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</si>
  <si>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</si>
  <si>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</si>
  <si>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</si>
  <si>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</si>
  <si>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</si>
  <si>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</si>
  <si>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</si>
  <si>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</si>
  <si>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</si>
  <si>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</si>
  <si>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</si>
  <si>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</si>
  <si>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</si>
  <si>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</si>
  <si>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</si>
  <si>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</si>
  <si>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</si>
  <si>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</si>
  <si>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</si>
  <si>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</si>
  <si>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</si>
  <si>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</si>
  <si>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</si>
  <si>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</si>
  <si>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</si>
  <si>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</si>
  <si>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</si>
  <si>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</si>
  <si>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</si>
  <si>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</si>
  <si>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</si>
  <si>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</si>
  <si>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</si>
  <si>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</si>
  <si>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</si>
  <si>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</si>
  <si>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</si>
  <si>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</si>
  <si>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</si>
  <si>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</si>
  <si>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</si>
  <si>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</si>
  <si>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</si>
  <si>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</si>
  <si>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</si>
  <si>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</si>
  <si>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</si>
  <si>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</si>
  <si>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</si>
  <si>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</si>
  <si>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</si>
  <si>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</si>
  <si>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</si>
  <si>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</si>
  <si>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</si>
  <si>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</si>
  <si>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</si>
  <si>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</si>
  <si>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</si>
  <si>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</si>
  <si>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</si>
  <si>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</si>
  <si>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</si>
  <si>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</si>
  <si>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</si>
  <si>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</si>
  <si>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</si>
  <si>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</si>
  <si>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</si>
  <si>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</si>
  <si>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</si>
  <si>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</si>
  <si>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</si>
  <si>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</si>
  <si>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</si>
  <si>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</si>
  <si>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</si>
  <si>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</si>
  <si>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</si>
  <si>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</si>
  <si>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</si>
  <si>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</si>
  <si>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</si>
  <si>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</si>
  <si>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</si>
  <si>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</si>
  <si>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</si>
  <si>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</si>
  <si>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</si>
  <si>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</si>
  <si>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</si>
  <si>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</si>
  <si>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</si>
  <si>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</si>
  <si>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</si>
  <si>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</si>
  <si>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</si>
  <si>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</si>
  <si>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</si>
  <si>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</si>
  <si>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</si>
  <si>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</si>
  <si>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</si>
  <si>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</si>
  <si>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</si>
  <si>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</si>
  <si>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</si>
  <si>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</si>
  <si>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</si>
  <si>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</si>
  <si>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</si>
  <si>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</si>
  <si>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</si>
  <si>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</si>
  <si>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</si>
  <si>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</si>
  <si>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</si>
  <si>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</si>
  <si>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</si>
  <si>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</si>
  <si>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</si>
  <si>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</si>
  <si>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</si>
  <si>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</si>
  <si>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</si>
  <si>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</si>
  <si>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</si>
  <si>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</si>
  <si>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</si>
  <si>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</si>
  <si>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</si>
  <si>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</si>
  <si>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</si>
  <si>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</si>
  <si>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</si>
  <si>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</si>
  <si>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</si>
  <si>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</si>
  <si>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</si>
  <si>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</si>
  <si>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</si>
  <si>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</si>
  <si>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</si>
  <si>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</si>
  <si>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</si>
  <si>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</si>
  <si>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</si>
  <si>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</si>
  <si>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</si>
  <si>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</si>
  <si>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</si>
  <si>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</si>
  <si>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</si>
  <si>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</si>
  <si>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</si>
  <si>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</si>
  <si>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</si>
  <si>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</si>
  <si>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</si>
  <si>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</si>
  <si>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</si>
  <si>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</si>
  <si>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</si>
  <si>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</si>
  <si>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</si>
  <si>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</si>
  <si>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</si>
  <si>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</si>
  <si>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</si>
  <si>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</si>
  <si>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</si>
  <si>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</si>
  <si>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</si>
  <si>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</si>
  <si>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</si>
  <si>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</si>
  <si>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</si>
  <si>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</si>
  <si>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</si>
  <si>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</si>
  <si>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</si>
  <si>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</si>
  <si>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</si>
  <si>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</si>
  <si>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</si>
  <si>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</si>
  <si>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</si>
  <si>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</si>
  <si>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</si>
  <si>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</si>
  <si>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</si>
  <si>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</si>
  <si>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</si>
  <si>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</si>
  <si>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</si>
  <si>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</si>
  <si>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</si>
  <si>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</si>
  <si>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</si>
  <si>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</si>
  <si>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</si>
  <si>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</si>
  <si>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</si>
  <si>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</si>
  <si>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</si>
  <si>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</si>
  <si>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</si>
  <si>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</si>
  <si>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</si>
  <si>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</si>
  <si>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</si>
  <si>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</si>
  <si>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</si>
  <si>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</si>
  <si>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</si>
  <si>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</si>
  <si>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</si>
  <si>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</si>
  <si>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</si>
  <si>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</si>
  <si>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</si>
  <si>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</si>
  <si>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</si>
  <si>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</si>
  <si>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</si>
  <si>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</si>
  <si>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</si>
  <si>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</si>
  <si>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</si>
  <si>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</si>
  <si>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</si>
  <si>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</si>
  <si>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</si>
  <si>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</si>
  <si>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</si>
  <si>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</si>
  <si>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</si>
  <si>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</si>
  <si>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</si>
  <si>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</si>
  <si>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</si>
  <si>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</si>
  <si>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</si>
  <si>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</si>
  <si>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</si>
  <si>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</si>
  <si>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</si>
  <si>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</si>
  <si>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</si>
  <si>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</si>
  <si>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</si>
  <si>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</si>
  <si>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</si>
  <si>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</si>
  <si>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</si>
  <si>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</si>
  <si>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</si>
  <si>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</si>
  <si>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</si>
  <si>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</si>
  <si>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</si>
  <si>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</si>
  <si>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</si>
  <si>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</si>
  <si>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</si>
  <si>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</si>
  <si>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</si>
  <si>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</si>
  <si>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</si>
  <si>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</si>
  <si>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</si>
  <si>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</si>
  <si>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</si>
  <si>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</si>
  <si>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</si>
  <si>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</si>
  <si>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</si>
  <si>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</si>
  <si>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</si>
  <si>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</si>
  <si>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</si>
  <si>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</si>
  <si>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</si>
  <si>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</si>
  <si>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</si>
  <si>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</si>
  <si>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</si>
  <si>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</si>
  <si>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</si>
  <si>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</si>
  <si>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</si>
  <si>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</si>
  <si>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</si>
  <si>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</si>
  <si>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</si>
  <si>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</si>
  <si>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</si>
  <si>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</si>
  <si>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</si>
  <si>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</si>
  <si>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</si>
  <si>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</si>
  <si>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</si>
  <si>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</si>
  <si>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</si>
  <si>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</si>
  <si>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</si>
  <si>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</si>
  <si>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</si>
  <si>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</si>
  <si>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</si>
  <si>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</si>
  <si>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</si>
  <si>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</si>
  <si>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</si>
  <si>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</si>
  <si>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</si>
  <si>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</si>
  <si>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</si>
  <si>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</si>
  <si>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</si>
  <si>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</si>
  <si>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</si>
  <si>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</si>
  <si>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</si>
  <si>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</si>
  <si>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</si>
  <si>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</si>
  <si>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</si>
  <si>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</si>
  <si>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</si>
  <si>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</si>
  <si>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</si>
  <si>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</si>
  <si>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</si>
  <si>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</si>
  <si>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</si>
  <si>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</si>
  <si>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</si>
  <si>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</si>
  <si>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</si>
  <si>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</si>
  <si>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</si>
  <si>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</si>
  <si>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</si>
  <si>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</si>
  <si>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</si>
  <si>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</si>
  <si>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</si>
  <si>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</si>
  <si>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</si>
  <si>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</si>
  <si>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</si>
  <si>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</si>
  <si>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</si>
  <si>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</si>
  <si>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</si>
  <si>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</si>
  <si>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</si>
  <si>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</si>
  <si>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</si>
  <si>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</si>
  <si>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</si>
  <si>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</si>
  <si>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</si>
  <si>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</si>
  <si>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</si>
  <si>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</si>
  <si>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</si>
  <si>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</si>
  <si>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</si>
  <si>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</si>
  <si>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</si>
  <si>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</si>
  <si>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</si>
  <si>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</si>
  <si>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</si>
  <si>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</si>
  <si>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</si>
  <si>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</si>
  <si>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</si>
  <si>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</si>
  <si>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</si>
  <si>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</si>
  <si>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</si>
  <si>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</si>
  <si>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</si>
  <si>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</si>
  <si>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</si>
  <si>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</si>
  <si>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</si>
  <si>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</si>
  <si>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</si>
  <si>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</si>
  <si>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</si>
  <si>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</si>
  <si>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</si>
  <si>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</si>
  <si>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</si>
  <si>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</si>
  <si>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</si>
  <si>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</si>
  <si>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</si>
  <si>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</si>
  <si>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</si>
  <si>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</si>
  <si>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</si>
  <si>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</si>
  <si>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</si>
  <si>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</si>
  <si>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</si>
  <si>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</si>
  <si>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</si>
  <si>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</si>
  <si>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</si>
  <si>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</si>
  <si>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</si>
  <si>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</si>
  <si>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</si>
  <si>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</si>
  <si>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</si>
  <si>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</si>
  <si>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</si>
  <si>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</si>
  <si>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</si>
  <si>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</si>
  <si>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</si>
  <si>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</si>
  <si>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</si>
  <si>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</si>
  <si>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</si>
  <si>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</si>
  <si>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</si>
  <si>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</si>
  <si>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</si>
  <si>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</si>
  <si>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</si>
  <si>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</si>
  <si>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</si>
  <si>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</si>
  <si>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</si>
  <si>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</si>
  <si>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</si>
  <si>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</si>
  <si>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</si>
  <si>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</si>
  <si>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</si>
  <si>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</si>
  <si>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</si>
  <si>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</si>
  <si>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</si>
  <si>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</si>
  <si>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</si>
  <si>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</si>
  <si>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</si>
  <si>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</si>
  <si>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</si>
  <si>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</si>
  <si>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</si>
  <si>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</si>
  <si>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</si>
  <si>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</si>
  <si>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</si>
  <si>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</si>
  <si>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</si>
  <si>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</si>
  <si>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</si>
  <si>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</si>
  <si>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</si>
  <si>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</si>
  <si>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</si>
  <si>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</si>
  <si>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</si>
  <si>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</si>
  <si>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</si>
  <si>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</si>
  <si>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</si>
  <si>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</si>
  <si>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</si>
  <si>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</si>
  <si>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</si>
  <si>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</si>
  <si>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</si>
  <si>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</si>
  <si>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</si>
  <si>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</si>
  <si>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</si>
  <si>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</si>
  <si>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</si>
  <si>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</si>
  <si>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</si>
  <si>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</si>
  <si>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</si>
  <si>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</si>
  <si>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</si>
  <si>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</si>
  <si>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</si>
  <si>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</si>
  <si>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</si>
  <si>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</si>
  <si>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</si>
  <si>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</si>
  <si>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</si>
  <si>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</si>
  <si>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</si>
  <si>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</si>
  <si>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</si>
  <si>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</si>
  <si>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</si>
  <si>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</si>
  <si>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</si>
  <si>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</si>
  <si>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</si>
  <si>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</si>
  <si>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</si>
  <si>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</si>
  <si>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</si>
  <si>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</si>
  <si>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</si>
  <si>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</si>
  <si>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</si>
  <si>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</si>
  <si>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</si>
  <si>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</si>
  <si>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</si>
  <si>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</si>
  <si>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</si>
  <si>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</si>
  <si>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</si>
  <si>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</si>
  <si>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</si>
  <si>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</si>
  <si>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</si>
  <si>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</si>
  <si>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</si>
  <si>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</si>
  <si>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</si>
  <si>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</si>
  <si>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</si>
  <si>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</si>
  <si>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</si>
  <si>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</si>
  <si>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</si>
  <si>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</si>
  <si>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</si>
  <si>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</si>
  <si>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</si>
  <si>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</si>
  <si>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</si>
  <si>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</si>
  <si>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</si>
  <si>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</si>
  <si>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</si>
  <si>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</si>
  <si>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</si>
  <si>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</si>
  <si>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</si>
  <si>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</si>
  <si>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</si>
  <si>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</si>
  <si>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</si>
  <si>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</si>
  <si>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</si>
  <si>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</si>
  <si>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</si>
  <si>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</si>
  <si>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</si>
  <si>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</si>
  <si>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</si>
  <si>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</si>
  <si>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</si>
  <si>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</si>
  <si>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</si>
  <si>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</si>
  <si>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</si>
  <si>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</si>
  <si>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</si>
  <si>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</si>
  <si>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</si>
  <si>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</si>
  <si>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</si>
  <si>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</si>
  <si>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</si>
  <si>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</si>
  <si>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</si>
  <si>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</si>
  <si>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</si>
  <si>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</si>
  <si>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</si>
  <si>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</si>
  <si>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</si>
  <si>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</si>
  <si>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</si>
  <si>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</si>
  <si>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</si>
  <si>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</si>
  <si>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</si>
  <si>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</si>
  <si>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</si>
  <si>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</si>
  <si>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</si>
  <si>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</si>
  <si>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</si>
  <si>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</si>
  <si>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</si>
  <si>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</si>
  <si>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</si>
  <si>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</si>
  <si>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</si>
  <si>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</si>
  <si>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</si>
  <si>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</si>
  <si>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</si>
  <si>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</si>
  <si>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</si>
  <si>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</si>
  <si>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</si>
  <si>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</si>
  <si>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</si>
  <si>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</si>
  <si>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</si>
  <si>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</si>
  <si>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</si>
  <si>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</si>
  <si>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</si>
  <si>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</si>
  <si>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</si>
  <si>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</si>
  <si>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</si>
  <si>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</si>
  <si>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</si>
  <si>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</si>
  <si>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</si>
  <si>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</si>
  <si>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</si>
  <si>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</si>
  <si>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</si>
  <si>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</si>
  <si>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</si>
  <si>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</si>
  <si>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</si>
  <si>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</si>
  <si>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</si>
  <si>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</si>
  <si>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</si>
  <si>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</si>
  <si>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</si>
  <si>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</si>
  <si>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</si>
  <si>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</si>
  <si>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</si>
  <si>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</si>
  <si>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</si>
  <si>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</si>
  <si>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</si>
  <si>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</si>
  <si>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</si>
  <si>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</si>
  <si>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</si>
  <si>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</si>
  <si>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</si>
  <si>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</si>
  <si>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</si>
  <si>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</si>
  <si>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</si>
  <si>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</si>
  <si>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</si>
  <si>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</si>
  <si>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</si>
  <si>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</si>
  <si>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</si>
  <si>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</si>
  <si>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</si>
  <si>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</si>
  <si>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</si>
  <si>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</si>
  <si>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</si>
  <si>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</si>
  <si>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</si>
  <si>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</si>
  <si>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</si>
  <si>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</si>
  <si>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</si>
  <si>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</si>
  <si>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</si>
  <si>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</si>
  <si>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</si>
  <si>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</si>
  <si>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</si>
  <si>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</si>
  <si>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</si>
  <si>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</si>
  <si>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</si>
  <si>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</si>
  <si>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</si>
  <si>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</si>
  <si>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</si>
  <si>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</si>
  <si>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</si>
  <si>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</si>
  <si>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</si>
  <si>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</si>
  <si>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</si>
  <si>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</si>
  <si>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</si>
  <si>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</si>
  <si>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</si>
  <si>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</si>
  <si>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</si>
  <si>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</si>
  <si>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</si>
  <si>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</si>
  <si>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</si>
  <si>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</si>
  <si>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</si>
  <si>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</si>
  <si>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</si>
  <si>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</si>
  <si>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</si>
  <si>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</si>
  <si>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</si>
  <si>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</si>
  <si>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</si>
  <si>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</si>
  <si>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</si>
  <si>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</si>
  <si>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</si>
  <si>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</si>
  <si>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</si>
  <si>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</si>
  <si>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</si>
  <si>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</si>
  <si>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</si>
  <si>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</si>
  <si>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</si>
  <si>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</si>
  <si>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</si>
  <si>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</si>
  <si>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</si>
  <si>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</si>
  <si>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</si>
  <si>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</si>
  <si>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</si>
  <si>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</si>
  <si>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</si>
  <si>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</si>
  <si>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</si>
  <si>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</si>
  <si>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</si>
  <si>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</si>
  <si>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</si>
  <si>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</si>
  <si>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</si>
  <si>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</si>
  <si>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</si>
  <si>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</si>
  <si>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</si>
  <si>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</si>
  <si>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</si>
  <si>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</si>
  <si>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</si>
  <si>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</si>
  <si>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</si>
  <si>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</si>
  <si>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</si>
  <si>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</si>
  <si>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</si>
  <si>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</si>
  <si>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</si>
  <si>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</si>
  <si>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</si>
  <si>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</si>
  <si>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</si>
  <si>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</si>
  <si>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</si>
  <si>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</si>
  <si>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</si>
  <si>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</si>
  <si>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</si>
  <si>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</si>
  <si>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</si>
  <si>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</si>
  <si>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</si>
  <si>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</si>
  <si>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</si>
  <si>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</si>
  <si>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</si>
  <si>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</si>
  <si>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</si>
  <si>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</si>
  <si>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</si>
  <si>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</si>
  <si>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</si>
  <si>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</si>
  <si>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</si>
  <si>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</si>
  <si>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</si>
  <si>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</si>
  <si>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</si>
  <si>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</si>
  <si>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</si>
  <si>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</si>
  <si>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</si>
  <si>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</si>
  <si>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</si>
  <si>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</si>
  <si>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</si>
  <si>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</si>
  <si>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</si>
  <si>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</si>
  <si>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</si>
  <si>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</si>
  <si>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</si>
  <si>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</si>
  <si>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</si>
  <si>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</si>
  <si>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</si>
  <si>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</si>
  <si>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</si>
  <si>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</si>
  <si>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</si>
  <si>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</si>
  <si>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</si>
  <si>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</si>
  <si>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</si>
  <si>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</si>
  <si>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</si>
  <si>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</si>
  <si>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</si>
  <si>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</si>
  <si>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</si>
  <si>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</si>
  <si>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</si>
  <si>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</si>
  <si>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</si>
  <si>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</si>
  <si>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</si>
  <si>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</si>
  <si>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</si>
  <si>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</si>
  <si>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</si>
  <si>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</si>
  <si>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</si>
  <si>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</si>
  <si>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</si>
  <si>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</si>
  <si>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</si>
  <si>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</si>
  <si>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</si>
  <si>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</si>
  <si>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</si>
  <si>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</si>
  <si>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</si>
  <si>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</si>
  <si>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</si>
  <si>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</si>
  <si>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</si>
  <si>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</si>
  <si>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</si>
  <si>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</si>
  <si>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</si>
  <si>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</si>
  <si>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</si>
  <si>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</si>
  <si>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</si>
  <si>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</si>
  <si>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</si>
  <si>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</si>
  <si>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</si>
  <si>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</si>
  <si>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</si>
  <si>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</si>
  <si>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</si>
  <si>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</si>
  <si>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</si>
  <si>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</si>
  <si>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</si>
  <si>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</si>
  <si>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</si>
  <si>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</si>
  <si>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</si>
  <si>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</si>
  <si>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</si>
  <si>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</si>
  <si>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89406825003</t>
  </si>
  <si>
    <t>03410153</t>
  </si>
  <si>
    <t>060083654</t>
  </si>
  <si>
    <t>VODOVOD D.O.O.</t>
  </si>
  <si>
    <t>ZADAR</t>
  </si>
  <si>
    <t>ŠPIRE BRUSINE 17</t>
  </si>
  <si>
    <t>vodovod1@vodovod-zadar.hr</t>
  </si>
  <si>
    <t>www.vodovod-zadar.hr</t>
  </si>
  <si>
    <t>klaudia stulić, iva brkić</t>
  </si>
  <si>
    <t>023 282 926</t>
  </si>
  <si>
    <t>klaudia.stulic@vodovod-zadar.hr</t>
  </si>
  <si>
    <t>TOMISLAV MATEK, dipl. ing. građ.</t>
  </si>
  <si>
    <t>023/282902</t>
  </si>
  <si>
    <t>MSFI</t>
  </si>
  <si>
    <t>98910718267</t>
  </si>
  <si>
    <t>15</t>
  </si>
  <si>
    <t>16</t>
  </si>
  <si>
    <t>18</t>
  </si>
  <si>
    <t>17</t>
  </si>
  <si>
    <t>19</t>
  </si>
  <si>
    <t>20</t>
  </si>
  <si>
    <t>21</t>
  </si>
  <si>
    <t>22</t>
  </si>
  <si>
    <t>24</t>
  </si>
  <si>
    <t>26</t>
  </si>
  <si>
    <t>25</t>
  </si>
  <si>
    <t>27</t>
  </si>
  <si>
    <t>7</t>
  </si>
  <si>
    <t>8</t>
  </si>
  <si>
    <t>9</t>
  </si>
  <si>
    <t>10</t>
  </si>
  <si>
    <t>11</t>
  </si>
  <si>
    <t>12</t>
  </si>
  <si>
    <t>13</t>
  </si>
  <si>
    <t>14</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</si>
</sst>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2361</v>
      </c>
      <c r="B1" s="49" t="s">
        <v>2362</v>
      </c>
      <c r="C1" s="48"/>
      <c r="D1" s="48" t="s">
        <v>1913</v>
      </c>
      <c r="E1" s="48" t="s">
        <v>1914</v>
      </c>
      <c r="F1" s="48" t="s">
        <v>720</v>
      </c>
      <c r="G1" s="48" t="s">
        <v>1915</v>
      </c>
      <c r="H1" s="50" t="s">
        <v>2339</v>
      </c>
      <c r="I1" s="48" t="s">
        <v>1525</v>
      </c>
      <c r="J1" s="51" t="s">
        <v>2340</v>
      </c>
      <c r="K1" s="51" t="s">
        <v>2341</v>
      </c>
      <c r="L1" s="51" t="s">
        <v>2342</v>
      </c>
      <c r="M1" s="51" t="s">
        <v>2343</v>
      </c>
      <c r="N1" s="51" t="s">
        <v>2344</v>
      </c>
      <c r="O1" s="51" t="s">
        <v>2345</v>
      </c>
      <c r="P1" s="51" t="s">
        <v>2346</v>
      </c>
      <c r="Q1" s="51" t="s">
        <v>2347</v>
      </c>
      <c r="R1" s="51" t="s">
        <v>2348</v>
      </c>
      <c r="S1" s="51" t="s">
        <v>2349</v>
      </c>
      <c r="T1" s="51" t="s">
        <v>2350</v>
      </c>
      <c r="U1" s="51" t="s">
        <v>526</v>
      </c>
      <c r="V1" s="51" t="s">
        <v>527</v>
      </c>
      <c r="W1" s="51" t="s">
        <v>528</v>
      </c>
      <c r="X1" s="51" t="s">
        <v>529</v>
      </c>
      <c r="Y1" s="51" t="s">
        <v>1476</v>
      </c>
      <c r="Z1" s="51" t="s">
        <v>2626</v>
      </c>
      <c r="AA1" s="51" t="s">
        <v>2627</v>
      </c>
      <c r="AB1" s="51" t="s">
        <v>2628</v>
      </c>
      <c r="AC1" s="51" t="s">
        <v>2629</v>
      </c>
      <c r="AD1" s="51" t="s">
        <v>2630</v>
      </c>
      <c r="AE1" s="51" t="s">
        <v>2631</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30415541.82</v>
      </c>
      <c r="I3" s="31">
        <f>ABS(ROUND(J3,0)-J3)+ABS(ROUND(K3,0)-K3)</f>
        <v>0</v>
      </c>
      <c r="J3" s="31">
        <f>Bilanca!I10</f>
        <v>502055453</v>
      </c>
      <c r="K3" s="31">
        <f>Bilanca!J10</f>
        <v>509360819</v>
      </c>
    </row>
    <row r="4" spans="1:11" ht="12.75">
      <c r="A4" s="4" t="s">
        <v>1088</v>
      </c>
      <c r="B4" s="29" t="s">
        <v>1888</v>
      </c>
      <c r="D4" s="4" t="s">
        <v>1521</v>
      </c>
      <c r="E4" s="4">
        <v>1</v>
      </c>
      <c r="F4" s="4">
        <f>Bilanca!G11</f>
        <v>3</v>
      </c>
      <c r="G4" s="4">
        <f>IF(Bilanca!H11=0,"",Bilanca!H11)</f>
      </c>
      <c r="H4" s="30">
        <f>J4/100*F4+2*K4/100*F4</f>
        <v>88420.98000000001</v>
      </c>
      <c r="I4" s="31">
        <f>ABS(ROUND(J4,0)-J4)+ABS(ROUND(K4,0)-K4)</f>
        <v>0</v>
      </c>
      <c r="J4" s="31">
        <f>Bilanca!I11</f>
        <v>589632</v>
      </c>
      <c r="K4" s="31">
        <f>Bilanca!J11</f>
        <v>1178867</v>
      </c>
    </row>
    <row r="5" spans="1:11" ht="12.75">
      <c r="A5" s="4" t="s">
        <v>2360</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2351</v>
      </c>
      <c r="B6" s="29" t="str">
        <f>RefStr!H27</f>
        <v>03410153</v>
      </c>
      <c r="D6" s="4" t="s">
        <v>1521</v>
      </c>
      <c r="E6" s="4">
        <v>1</v>
      </c>
      <c r="F6" s="4">
        <f>Bilanca!G13</f>
        <v>5</v>
      </c>
      <c r="G6" s="4">
        <f>IF(Bilanca!H13=0,"",Bilanca!H13)</f>
      </c>
      <c r="H6" s="30">
        <f aca="true" t="shared" si="0" ref="H6:H45">J6/100*F6+2*K6/100*F6</f>
        <v>21698.800000000003</v>
      </c>
      <c r="I6" s="31">
        <f aca="true" t="shared" si="1" ref="I6:I45">ABS(ROUND(J6,0)-J6)+ABS(ROUND(K6,0)-K6)</f>
        <v>0</v>
      </c>
      <c r="J6" s="31">
        <f>Bilanca!I13</f>
        <v>0</v>
      </c>
      <c r="K6" s="31">
        <f>Bilanca!J13</f>
        <v>216988</v>
      </c>
    </row>
    <row r="7" spans="1:11" ht="12.75">
      <c r="A7" s="4" t="s">
        <v>2352</v>
      </c>
      <c r="B7" s="29" t="str">
        <f>RefStr!M27</f>
        <v>060083654</v>
      </c>
      <c r="D7" s="4" t="s">
        <v>1521</v>
      </c>
      <c r="E7" s="4">
        <v>1</v>
      </c>
      <c r="F7" s="4">
        <f>Bilanca!G14</f>
        <v>6</v>
      </c>
      <c r="G7" s="4">
        <f>IF(Bilanca!H14=0,"",Bilanca!H14)</f>
      </c>
      <c r="H7" s="30">
        <f t="shared" si="0"/>
        <v>0</v>
      </c>
      <c r="I7" s="31">
        <f t="shared" si="1"/>
        <v>0</v>
      </c>
      <c r="J7" s="31">
        <f>Bilanca!I14</f>
        <v>0</v>
      </c>
      <c r="K7" s="31">
        <f>Bilanca!J14</f>
        <v>0</v>
      </c>
    </row>
    <row r="8" spans="1:11" ht="12.75">
      <c r="A8" s="4" t="s">
        <v>2717</v>
      </c>
      <c r="B8" s="29" t="str">
        <f>RefStr!C27</f>
        <v>89406825003</v>
      </c>
      <c r="D8" s="4" t="s">
        <v>1521</v>
      </c>
      <c r="E8" s="4">
        <v>1</v>
      </c>
      <c r="F8" s="4">
        <f>Bilanca!G15</f>
        <v>7</v>
      </c>
      <c r="G8" s="4">
        <f>IF(Bilanca!H15=0,"",Bilanca!H15)</f>
      </c>
      <c r="H8" s="30">
        <f t="shared" si="0"/>
        <v>0</v>
      </c>
      <c r="I8" s="31">
        <f t="shared" si="1"/>
        <v>0</v>
      </c>
      <c r="J8" s="31">
        <f>Bilanca!I15</f>
        <v>0</v>
      </c>
      <c r="K8" s="31">
        <f>Bilanca!J15</f>
        <v>0</v>
      </c>
    </row>
    <row r="9" spans="1:11" ht="12.75">
      <c r="A9" s="4" t="s">
        <v>2353</v>
      </c>
      <c r="B9" s="29" t="str">
        <f>TRIM(RefStr!C29)</f>
        <v>VODOVOD D.O.O.</v>
      </c>
      <c r="D9" s="4" t="s">
        <v>1521</v>
      </c>
      <c r="E9" s="4">
        <v>1</v>
      </c>
      <c r="F9" s="4">
        <f>Bilanca!G16</f>
        <v>8</v>
      </c>
      <c r="G9" s="4">
        <f>IF(Bilanca!H16=0,"",Bilanca!H16)</f>
      </c>
      <c r="H9" s="30">
        <f t="shared" si="0"/>
        <v>0</v>
      </c>
      <c r="I9" s="31">
        <f t="shared" si="1"/>
        <v>0</v>
      </c>
      <c r="J9" s="31">
        <f>Bilanca!I16</f>
        <v>0</v>
      </c>
      <c r="K9" s="31">
        <f>Bilanca!J16</f>
        <v>0</v>
      </c>
    </row>
    <row r="10" spans="1:11" ht="12.75">
      <c r="A10" s="4" t="s">
        <v>2354</v>
      </c>
      <c r="B10" s="29" t="str">
        <f>TEXT(RefStr!C31,"00000")</f>
        <v>23000</v>
      </c>
      <c r="D10" s="4" t="s">
        <v>1521</v>
      </c>
      <c r="E10" s="4">
        <v>1</v>
      </c>
      <c r="F10" s="4">
        <f>Bilanca!G17</f>
        <v>9</v>
      </c>
      <c r="G10" s="4">
        <f>IF(Bilanca!H17=0,"",Bilanca!H17)</f>
      </c>
      <c r="H10" s="30">
        <f t="shared" si="0"/>
        <v>226205.10000000003</v>
      </c>
      <c r="I10" s="31">
        <f t="shared" si="1"/>
        <v>0</v>
      </c>
      <c r="J10" s="31">
        <f>Bilanca!I17</f>
        <v>589632</v>
      </c>
      <c r="K10" s="31">
        <f>Bilanca!J17</f>
        <v>961879</v>
      </c>
    </row>
    <row r="11" spans="1:11" ht="12.75">
      <c r="A11" s="4" t="s">
        <v>2355</v>
      </c>
      <c r="B11" s="29" t="str">
        <f>TRIM(RefStr!F31)</f>
        <v>ZADAR</v>
      </c>
      <c r="D11" s="4" t="s">
        <v>1521</v>
      </c>
      <c r="E11" s="4">
        <v>1</v>
      </c>
      <c r="F11" s="4">
        <f>Bilanca!G18</f>
        <v>10</v>
      </c>
      <c r="G11" s="4" t="str">
        <f>IF(Bilanca!H18=0,"",Bilanca!H18)</f>
        <v>15</v>
      </c>
      <c r="H11" s="30">
        <f t="shared" si="0"/>
        <v>149105647.6</v>
      </c>
      <c r="I11" s="31">
        <f t="shared" si="1"/>
        <v>0</v>
      </c>
      <c r="J11" s="31">
        <f>Bilanca!I18</f>
        <v>491776954</v>
      </c>
      <c r="K11" s="31">
        <f>Bilanca!J18</f>
        <v>499639761</v>
      </c>
    </row>
    <row r="12" spans="1:11" ht="12.75">
      <c r="A12" s="4" t="s">
        <v>2356</v>
      </c>
      <c r="B12" s="29" t="str">
        <f>TRIM(RefStr!C33)</f>
        <v>ŠPIRE BRUSINE 17</v>
      </c>
      <c r="D12" s="4" t="s">
        <v>1521</v>
      </c>
      <c r="E12" s="4">
        <v>1</v>
      </c>
      <c r="F12" s="4">
        <f>Bilanca!G19</f>
        <v>11</v>
      </c>
      <c r="G12" s="4">
        <f>IF(Bilanca!H19=0,"",Bilanca!H19)</f>
      </c>
      <c r="H12" s="30">
        <f t="shared" si="0"/>
        <v>16113980.850000001</v>
      </c>
      <c r="I12" s="31">
        <f t="shared" si="1"/>
        <v>0</v>
      </c>
      <c r="J12" s="31">
        <f>Bilanca!I19</f>
        <v>48830245</v>
      </c>
      <c r="K12" s="31">
        <f>Bilanca!J19</f>
        <v>48830245</v>
      </c>
    </row>
    <row r="13" spans="1:11" ht="12.75">
      <c r="A13" s="4" t="s">
        <v>1193</v>
      </c>
      <c r="B13" s="29" t="str">
        <f>TRIM(RefStr!C35)</f>
        <v>vodovod1@vodovod-zadar.hr</v>
      </c>
      <c r="D13" s="4" t="s">
        <v>1521</v>
      </c>
      <c r="E13" s="4">
        <v>1</v>
      </c>
      <c r="F13" s="4">
        <f>Bilanca!G20</f>
        <v>12</v>
      </c>
      <c r="G13" s="4">
        <f>IF(Bilanca!H20=0,"",Bilanca!H20)</f>
      </c>
      <c r="H13" s="30">
        <f t="shared" si="0"/>
        <v>148344531.72</v>
      </c>
      <c r="I13" s="31">
        <f t="shared" si="1"/>
        <v>0</v>
      </c>
      <c r="J13" s="31">
        <f>Bilanca!I20</f>
        <v>413320453</v>
      </c>
      <c r="K13" s="31">
        <f>Bilanca!J20</f>
        <v>411441989</v>
      </c>
    </row>
    <row r="14" spans="1:11" ht="12.75">
      <c r="A14" s="4" t="s">
        <v>1194</v>
      </c>
      <c r="B14" s="29" t="str">
        <f>TRIM(RefStr!C37)</f>
        <v>www.vodovod-zadar.hr</v>
      </c>
      <c r="D14" s="4" t="s">
        <v>1521</v>
      </c>
      <c r="E14" s="4">
        <v>1</v>
      </c>
      <c r="F14" s="4">
        <f>Bilanca!G21</f>
        <v>13</v>
      </c>
      <c r="G14" s="4">
        <f>IF(Bilanca!H21=0,"",Bilanca!H21)</f>
      </c>
      <c r="H14" s="30">
        <f t="shared" si="0"/>
        <v>7709288.99</v>
      </c>
      <c r="I14" s="31">
        <f t="shared" si="1"/>
        <v>0</v>
      </c>
      <c r="J14" s="31">
        <f>Bilanca!I21</f>
        <v>18700767</v>
      </c>
      <c r="K14" s="31">
        <f>Bilanca!J21</f>
        <v>20300728</v>
      </c>
    </row>
    <row r="15" spans="1:11" ht="12.75">
      <c r="A15" s="4" t="s">
        <v>2359</v>
      </c>
      <c r="B15" s="29" t="str">
        <f>TEXT(RefStr!J39,"00")</f>
        <v>13</v>
      </c>
      <c r="D15" s="4" t="s">
        <v>1521</v>
      </c>
      <c r="E15" s="4">
        <v>1</v>
      </c>
      <c r="F15" s="4">
        <f>Bilanca!G22</f>
        <v>14</v>
      </c>
      <c r="G15" s="4">
        <f>IF(Bilanca!H22=0,"",Bilanca!H22)</f>
      </c>
      <c r="H15" s="30">
        <f t="shared" si="0"/>
        <v>562672.04</v>
      </c>
      <c r="I15" s="31">
        <f t="shared" si="1"/>
        <v>0</v>
      </c>
      <c r="J15" s="31">
        <f>Bilanca!I22</f>
        <v>1422402</v>
      </c>
      <c r="K15" s="31">
        <f>Bilanca!J22</f>
        <v>1298342</v>
      </c>
    </row>
    <row r="16" spans="1:11" ht="12.75">
      <c r="A16" s="4" t="s">
        <v>2358</v>
      </c>
      <c r="B16" s="29" t="str">
        <f>TEXT(RefStr!C39,"000")</f>
        <v>520</v>
      </c>
      <c r="D16" s="4" t="s">
        <v>1521</v>
      </c>
      <c r="E16" s="4">
        <v>1</v>
      </c>
      <c r="F16" s="4">
        <f>Bilanca!G23</f>
        <v>15</v>
      </c>
      <c r="G16" s="4">
        <f>IF(Bilanca!H23=0,"",Bilanca!H23)</f>
      </c>
      <c r="H16" s="30">
        <f t="shared" si="0"/>
        <v>0</v>
      </c>
      <c r="I16" s="31">
        <f t="shared" si="1"/>
        <v>0</v>
      </c>
      <c r="J16" s="31">
        <f>Bilanca!I23</f>
        <v>0</v>
      </c>
      <c r="K16" s="31">
        <f>Bilanca!J23</f>
        <v>0</v>
      </c>
    </row>
    <row r="17" spans="1:11" ht="12.75">
      <c r="A17" s="4" t="s">
        <v>2357</v>
      </c>
      <c r="B17" s="29" t="str">
        <f>RefStr!C42</f>
        <v>3600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t="str">
        <f>IF(Bilanca!H25=0,"",Bilanca!H25)</f>
        <v>15</v>
      </c>
      <c r="H18" s="30">
        <f t="shared" si="0"/>
        <v>7656800.17</v>
      </c>
      <c r="I18" s="31">
        <f t="shared" si="1"/>
        <v>0</v>
      </c>
      <c r="J18" s="31">
        <f>Bilanca!I25</f>
        <v>9503087</v>
      </c>
      <c r="K18" s="31">
        <f>Bilanca!J25</f>
        <v>17768457</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3</v>
      </c>
      <c r="D21" s="4" t="s">
        <v>1521</v>
      </c>
      <c r="E21" s="4">
        <v>1</v>
      </c>
      <c r="F21" s="4">
        <f>Bilanca!G28</f>
        <v>20</v>
      </c>
      <c r="G21" s="4">
        <f>IF(Bilanca!H28=0,"",Bilanca!H28)</f>
      </c>
      <c r="H21" s="30">
        <f t="shared" si="0"/>
        <v>253360.4</v>
      </c>
      <c r="I21" s="31">
        <f t="shared" si="1"/>
        <v>0</v>
      </c>
      <c r="J21" s="31">
        <f>Bilanca!I28</f>
        <v>407728</v>
      </c>
      <c r="K21" s="31">
        <f>Bilanca!J28</f>
        <v>429537</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290</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295</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232</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234</v>
      </c>
      <c r="D28" s="4" t="s">
        <v>1521</v>
      </c>
      <c r="E28" s="4">
        <v>1</v>
      </c>
      <c r="F28" s="4">
        <f>Bilanca!G35</f>
        <v>27</v>
      </c>
      <c r="G28" s="4" t="str">
        <f>IF(Bilanca!H35=0,"",Bilanca!H35)</f>
        <v>16</v>
      </c>
      <c r="H28" s="30">
        <f t="shared" si="0"/>
        <v>342036.54</v>
      </c>
      <c r="I28" s="31">
        <f t="shared" si="1"/>
        <v>0</v>
      </c>
      <c r="J28" s="31">
        <f>Bilanca!I35</f>
        <v>407728</v>
      </c>
      <c r="K28" s="31">
        <f>Bilanca!J35</f>
        <v>429537</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7906998.569999999</v>
      </c>
      <c r="I32" s="31">
        <f t="shared" si="1"/>
        <v>0</v>
      </c>
      <c r="J32" s="31">
        <f>Bilanca!I39</f>
        <v>9281139</v>
      </c>
      <c r="K32" s="31">
        <f>Bilanca!J39</f>
        <v>8112654</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t="str">
        <f>IF(Bilanca!H42=0,"",Bilanca!H42)</f>
        <v>18</v>
      </c>
      <c r="H35" s="30">
        <f t="shared" si="0"/>
        <v>8672191.98</v>
      </c>
      <c r="I35" s="31">
        <f t="shared" si="1"/>
        <v>0</v>
      </c>
      <c r="J35" s="31">
        <f>Bilanca!I42</f>
        <v>9281139</v>
      </c>
      <c r="K35" s="31">
        <f>Bilanca!J42</f>
        <v>8112654</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62274759.2</v>
      </c>
      <c r="I38" s="31">
        <f t="shared" si="1"/>
        <v>0</v>
      </c>
      <c r="J38" s="31">
        <f>Bilanca!I45</f>
        <v>56898790</v>
      </c>
      <c r="K38" s="31">
        <f>Bilanca!J45</f>
        <v>55705685</v>
      </c>
    </row>
    <row r="39" spans="1:11" ht="12.75">
      <c r="A39" s="4" t="s">
        <v>1216</v>
      </c>
      <c r="B39" s="29" t="str">
        <f>RefStr!C68</f>
        <v>klaudia stulić, iva brkić</v>
      </c>
      <c r="D39" s="4" t="s">
        <v>1521</v>
      </c>
      <c r="E39" s="4">
        <v>1</v>
      </c>
      <c r="F39" s="4">
        <f>Bilanca!G46</f>
        <v>38</v>
      </c>
      <c r="G39" s="4">
        <f>IF(Bilanca!H46=0,"",Bilanca!H46)</f>
      </c>
      <c r="H39" s="30">
        <f t="shared" si="0"/>
        <v>8592330.48</v>
      </c>
      <c r="I39" s="31">
        <f t="shared" si="1"/>
        <v>0</v>
      </c>
      <c r="J39" s="31">
        <f>Bilanca!I46</f>
        <v>7277336</v>
      </c>
      <c r="K39" s="31">
        <f>Bilanca!J46</f>
        <v>7667030</v>
      </c>
    </row>
    <row r="40" spans="1:11" ht="12.75">
      <c r="A40" s="4" t="s">
        <v>1217</v>
      </c>
      <c r="B40" s="29" t="str">
        <f>TRIM(RefStr!C70)</f>
        <v>023 282 926</v>
      </c>
      <c r="D40" s="4" t="s">
        <v>1521</v>
      </c>
      <c r="E40" s="4">
        <v>1</v>
      </c>
      <c r="F40" s="4">
        <f>Bilanca!G47</f>
        <v>39</v>
      </c>
      <c r="G40" s="4" t="str">
        <f>IF(Bilanca!H47=0,"",Bilanca!H47)</f>
        <v>17</v>
      </c>
      <c r="H40" s="30">
        <f t="shared" si="0"/>
        <v>8818444.440000001</v>
      </c>
      <c r="I40" s="31">
        <f t="shared" si="1"/>
        <v>0</v>
      </c>
      <c r="J40" s="31">
        <f>Bilanca!I47</f>
        <v>7277336</v>
      </c>
      <c r="K40" s="31">
        <f>Bilanca!J47</f>
        <v>7667030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klaudia.stulic@vodovod-zadar.hr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TOMISLAV MATEK, dipl. ing. građ.</v>
      </c>
      <c r="D43" s="4" t="s">
        <v>1521</v>
      </c>
      <c r="E43" s="4">
        <v>1</v>
      </c>
      <c r="F43" s="4">
        <f>Bilanca!G50</f>
        <v>42</v>
      </c>
      <c r="G43" s="4">
        <f>IF(Bilanca!H50=0,"",Bilanca!H50)</f>
      </c>
      <c r="H43" s="30">
        <f t="shared" si="0"/>
        <v>0</v>
      </c>
      <c r="I43" s="31">
        <f t="shared" si="1"/>
        <v>0</v>
      </c>
      <c r="J43" s="31">
        <f>Bilanca!I50</f>
        <v>0</v>
      </c>
      <c r="K43" s="31">
        <f>Bilanca!J50</f>
        <v>0</v>
      </c>
    </row>
    <row r="44" spans="1:11" ht="12.75">
      <c r="A44" s="4" t="s">
        <v>2852</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2853</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43372918.38</v>
      </c>
      <c r="I47" s="31">
        <f t="shared" si="3"/>
        <v>0</v>
      </c>
      <c r="J47" s="31">
        <f>Bilanca!I54</f>
        <v>28263975</v>
      </c>
      <c r="K47" s="31">
        <f>Bilanca!J54</f>
        <v>33012489</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DA</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t="str">
        <f>IF(Bilanca!H57=0,"",Bilanca!H57)</f>
        <v>18</v>
      </c>
      <c r="H50" s="30">
        <f t="shared" si="2"/>
        <v>41363550.9</v>
      </c>
      <c r="I50" s="31">
        <f t="shared" si="3"/>
        <v>0</v>
      </c>
      <c r="J50" s="31">
        <f>Bilanca!I57</f>
        <v>25921814</v>
      </c>
      <c r="K50" s="31">
        <f>Bilanca!J57</f>
        <v>29246798</v>
      </c>
    </row>
    <row r="51" spans="1:11" ht="12.75">
      <c r="A51" s="4" t="s">
        <v>288</v>
      </c>
      <c r="B51" s="29" t="str">
        <f>RefStr!I60</f>
        <v>DA</v>
      </c>
      <c r="D51" s="4" t="s">
        <v>1521</v>
      </c>
      <c r="E51" s="4">
        <v>1</v>
      </c>
      <c r="F51" s="4">
        <f>Bilanca!G58</f>
        <v>50</v>
      </c>
      <c r="G51" s="4" t="str">
        <f>IF(Bilanca!H58=0,"",Bilanca!H58)</f>
        <v>19</v>
      </c>
      <c r="H51" s="30">
        <f t="shared" si="2"/>
        <v>157176.5</v>
      </c>
      <c r="I51" s="31">
        <f t="shared" si="3"/>
        <v>0</v>
      </c>
      <c r="J51" s="31">
        <f>Bilanca!I58</f>
        <v>98161</v>
      </c>
      <c r="K51" s="31">
        <f>Bilanca!J58</f>
        <v>108096</v>
      </c>
    </row>
    <row r="52" spans="1:11" ht="12.75">
      <c r="A52" s="4" t="s">
        <v>1219</v>
      </c>
      <c r="B52" s="29" t="s">
        <v>2618</v>
      </c>
      <c r="D52" s="4" t="s">
        <v>1521</v>
      </c>
      <c r="E52" s="4">
        <v>1</v>
      </c>
      <c r="F52" s="4">
        <f>Bilanca!G59</f>
        <v>51</v>
      </c>
      <c r="G52" s="4" t="str">
        <f>IF(Bilanca!H59=0,"",Bilanca!H59)</f>
        <v>19</v>
      </c>
      <c r="H52" s="30">
        <f t="shared" si="2"/>
        <v>507471.42000000004</v>
      </c>
      <c r="I52" s="31">
        <f t="shared" si="3"/>
        <v>0</v>
      </c>
      <c r="J52" s="31">
        <f>Bilanca!I59</f>
        <v>96622</v>
      </c>
      <c r="K52" s="31">
        <f>Bilanca!J59</f>
        <v>449210</v>
      </c>
    </row>
    <row r="53" spans="1:11" ht="12.75">
      <c r="A53" s="4" t="s">
        <v>532</v>
      </c>
      <c r="B53" s="29" t="str">
        <f>RefStr!I56</f>
        <v>DA</v>
      </c>
      <c r="D53" s="4" t="s">
        <v>1521</v>
      </c>
      <c r="E53" s="4">
        <v>1</v>
      </c>
      <c r="F53" s="4">
        <f>Bilanca!G60</f>
        <v>52</v>
      </c>
      <c r="G53" s="4" t="str">
        <f>IF(Bilanca!H60=0,"",Bilanca!H60)</f>
        <v>19</v>
      </c>
      <c r="H53" s="30">
        <f t="shared" si="2"/>
        <v>4453356.96</v>
      </c>
      <c r="I53" s="31">
        <f t="shared" si="3"/>
        <v>0</v>
      </c>
      <c r="J53" s="31">
        <f>Bilanca!I60</f>
        <v>2147378</v>
      </c>
      <c r="K53" s="31">
        <f>Bilanca!J60</f>
        <v>3208385</v>
      </c>
    </row>
    <row r="54" spans="1:11" ht="12.75">
      <c r="A54" s="4" t="s">
        <v>533</v>
      </c>
      <c r="B54" s="29" t="str">
        <f>RefStr!I62</f>
        <v>DA</v>
      </c>
      <c r="D54" s="4" t="s">
        <v>1521</v>
      </c>
      <c r="E54" s="4">
        <v>1</v>
      </c>
      <c r="F54" s="4">
        <f>Bilanca!G61</f>
        <v>53</v>
      </c>
      <c r="G54" s="4">
        <f>IF(Bilanca!H61=0,"",Bilanca!H61)</f>
      </c>
      <c r="H54" s="30">
        <f t="shared" si="2"/>
        <v>7950000</v>
      </c>
      <c r="I54" s="31">
        <f t="shared" si="3"/>
        <v>0</v>
      </c>
      <c r="J54" s="31">
        <f>Bilanca!I61</f>
        <v>5000000</v>
      </c>
      <c r="K54" s="31">
        <f>Bilanca!J61</f>
        <v>5000000</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2917</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2277</v>
      </c>
      <c r="B59" s="30">
        <f>SUM(H2:H432)+SUM(RefStr!Q9:Q65)</f>
        <v>10938011824.280003</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2419</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t="str">
        <f>IF(Bilanca!H69=0,"",Bilanca!H69)</f>
        <v>20</v>
      </c>
      <c r="H62" s="30">
        <f t="shared" si="2"/>
        <v>9150000</v>
      </c>
      <c r="I62" s="31">
        <f t="shared" si="3"/>
        <v>0</v>
      </c>
      <c r="J62" s="31">
        <f>Bilanca!I69</f>
        <v>5000000</v>
      </c>
      <c r="K62" s="31">
        <f>Bilanca!J69</f>
        <v>5000000</v>
      </c>
    </row>
    <row r="63" spans="1:11" ht="12.75">
      <c r="A63" s="4" t="s">
        <v>777</v>
      </c>
      <c r="B63" s="29" t="str">
        <f>IF(ISNUMBER(VALUE(RefStr!L21)),TEXT(INT(VALUE(RefStr!L21)),"00000000000"),"")</f>
        <v>98910718267</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t="str">
        <f>IF(Bilanca!H71=0,"",Bilanca!H71)</f>
        <v>21</v>
      </c>
      <c r="H64" s="30">
        <f t="shared" si="2"/>
        <v>22938180.93</v>
      </c>
      <c r="I64" s="31">
        <f t="shared" si="3"/>
        <v>0</v>
      </c>
      <c r="J64" s="31">
        <f>Bilanca!I71</f>
        <v>16357479</v>
      </c>
      <c r="K64" s="31">
        <f>Bilanca!J71</f>
        <v>10026166</v>
      </c>
    </row>
    <row r="65" spans="1:11" ht="12.75">
      <c r="A65" s="4" t="s">
        <v>687</v>
      </c>
      <c r="B65" s="29" t="str">
        <f>RefStr!N19</f>
        <v>MSFI</v>
      </c>
      <c r="D65" s="4" t="s">
        <v>1521</v>
      </c>
      <c r="E65" s="4">
        <v>1</v>
      </c>
      <c r="F65" s="4">
        <f>Bilanca!G72</f>
        <v>64</v>
      </c>
      <c r="G65" s="4">
        <f>IF(Bilanca!H72=0,"",Bilanca!H72)</f>
      </c>
      <c r="H65" s="30">
        <f t="shared" si="2"/>
        <v>2986.88</v>
      </c>
      <c r="I65" s="31">
        <f t="shared" si="3"/>
        <v>0</v>
      </c>
      <c r="J65" s="31">
        <f>Bilanca!I72</f>
        <v>4667</v>
      </c>
      <c r="K65" s="31">
        <f>Bilanca!J72</f>
        <v>0</v>
      </c>
    </row>
    <row r="66" spans="1:11" ht="12.75">
      <c r="A66" s="4" t="s">
        <v>688</v>
      </c>
      <c r="B66" s="29">
        <f>RefStr!C23</f>
        <v>1</v>
      </c>
      <c r="D66" s="4" t="s">
        <v>1521</v>
      </c>
      <c r="E66" s="4">
        <v>1</v>
      </c>
      <c r="F66" s="4">
        <f>Bilanca!G73</f>
        <v>65</v>
      </c>
      <c r="G66" s="4">
        <f>IF(Bilanca!H73=0,"",Bilanca!H73)</f>
      </c>
      <c r="H66" s="30">
        <f t="shared" si="2"/>
        <v>1097909746.7</v>
      </c>
      <c r="I66" s="31">
        <f t="shared" si="3"/>
        <v>0</v>
      </c>
      <c r="J66" s="31">
        <f>Bilanca!I73</f>
        <v>558958910</v>
      </c>
      <c r="K66" s="31">
        <f>Bilanca!J73</f>
        <v>565066504</v>
      </c>
    </row>
    <row r="67" spans="1:11" ht="12.75">
      <c r="A67" s="4" t="s">
        <v>689</v>
      </c>
      <c r="B67" s="29" t="str">
        <f>RefStr!L35</f>
        <v>023/282902</v>
      </c>
      <c r="D67" s="4" t="s">
        <v>1521</v>
      </c>
      <c r="E67" s="4">
        <v>1</v>
      </c>
      <c r="F67" s="4">
        <f>Bilanca!G74</f>
        <v>66</v>
      </c>
      <c r="G67" s="4">
        <f>IF(Bilanca!H74=0,"",Bilanca!H74)</f>
      </c>
      <c r="H67" s="30">
        <f t="shared" si="2"/>
        <v>1417.68</v>
      </c>
      <c r="I67" s="31">
        <f t="shared" si="3"/>
        <v>0</v>
      </c>
      <c r="J67" s="31">
        <f>Bilanca!I74</f>
        <v>2148</v>
      </c>
      <c r="K67" s="31">
        <f>Bilanca!J74</f>
        <v>0</v>
      </c>
    </row>
    <row r="68" spans="1:11" ht="12.75">
      <c r="A68" s="4" t="s">
        <v>690</v>
      </c>
      <c r="B68" s="29">
        <f>RefStr!C44</f>
        <v>1</v>
      </c>
      <c r="D68" s="4" t="s">
        <v>1521</v>
      </c>
      <c r="E68" s="4">
        <v>1</v>
      </c>
      <c r="F68" s="4">
        <f>Bilanca!G76</f>
        <v>67</v>
      </c>
      <c r="G68" s="4">
        <f>IF(Bilanca!H76=0,"",Bilanca!H76)</f>
      </c>
      <c r="H68" s="30">
        <f t="shared" si="2"/>
        <v>321465598</v>
      </c>
      <c r="I68" s="31">
        <f t="shared" si="3"/>
        <v>0</v>
      </c>
      <c r="J68" s="31">
        <f>Bilanca!I76</f>
        <v>159871752</v>
      </c>
      <c r="K68" s="31">
        <f>Bilanca!J76</f>
        <v>159963824</v>
      </c>
    </row>
    <row r="69" spans="1:11" ht="12.75">
      <c r="A69" s="4" t="s">
        <v>691</v>
      </c>
      <c r="B69" s="29">
        <f>RefStr!M46</f>
        <v>0</v>
      </c>
      <c r="D69" s="4" t="s">
        <v>1521</v>
      </c>
      <c r="E69" s="4">
        <v>1</v>
      </c>
      <c r="F69" s="4">
        <f>Bilanca!G77</f>
        <v>68</v>
      </c>
      <c r="G69" s="4" t="str">
        <f>IF(Bilanca!H77=0,"",Bilanca!H77)</f>
        <v>22</v>
      </c>
      <c r="H69" s="30">
        <f t="shared" si="2"/>
        <v>325346952</v>
      </c>
      <c r="I69" s="31">
        <f t="shared" si="3"/>
        <v>0</v>
      </c>
      <c r="J69" s="31">
        <f>Bilanca!I77</f>
        <v>159483800</v>
      </c>
      <c r="K69" s="31">
        <f>Bilanca!J77</f>
        <v>159483800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994369.77</v>
      </c>
      <c r="I82" s="31">
        <f t="shared" si="3"/>
        <v>0</v>
      </c>
      <c r="J82" s="31">
        <f>Bilanca!I90</f>
        <v>372699</v>
      </c>
      <c r="K82" s="31">
        <f>Bilanca!J90</f>
        <v>427459</v>
      </c>
    </row>
    <row r="83" spans="4:11" ht="12.75">
      <c r="D83" s="4" t="s">
        <v>1521</v>
      </c>
      <c r="E83" s="4">
        <v>1</v>
      </c>
      <c r="F83" s="4">
        <f>Bilanca!G91</f>
        <v>82</v>
      </c>
      <c r="G83" s="4" t="str">
        <f>IF(Bilanca!H91=0,"",Bilanca!H91)</f>
        <v>22</v>
      </c>
      <c r="H83" s="30">
        <f t="shared" si="2"/>
        <v>1006645.94</v>
      </c>
      <c r="I83" s="31">
        <f t="shared" si="3"/>
        <v>0</v>
      </c>
      <c r="J83" s="31">
        <f>Bilanca!I91</f>
        <v>372699</v>
      </c>
      <c r="K83" s="31">
        <f>Bilanca!J91</f>
        <v>427459</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101121.72</v>
      </c>
      <c r="I85" s="31">
        <f>ABS(ROUND(J85,0)-J85)+ABS(ROUND(K85,0)-K85)</f>
        <v>0</v>
      </c>
      <c r="J85" s="31">
        <f>Bilanca!I93</f>
        <v>15253</v>
      </c>
      <c r="K85" s="31">
        <f>Bilanca!J93</f>
        <v>52565</v>
      </c>
    </row>
    <row r="86" spans="4:11" ht="12.75">
      <c r="D86" s="4" t="s">
        <v>1521</v>
      </c>
      <c r="E86" s="4">
        <v>1</v>
      </c>
      <c r="F86" s="4">
        <f>Bilanca!G94</f>
        <v>85</v>
      </c>
      <c r="G86" s="4" t="str">
        <f>IF(Bilanca!H94=0,"",Bilanca!H94)</f>
        <v>22</v>
      </c>
      <c r="H86" s="30">
        <f>J86/100*F86+2*K86/100*F86</f>
        <v>102325.55</v>
      </c>
      <c r="I86" s="31">
        <f>ABS(ROUND(J86,0)-J86)+ABS(ROUND(K86,0)-K86)</f>
        <v>0</v>
      </c>
      <c r="J86" s="31">
        <f>Bilanca!I94</f>
        <v>15253</v>
      </c>
      <c r="K86" s="31">
        <f>Bilanca!J94</f>
        <v>52565</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2233781.44</v>
      </c>
      <c r="I89" s="31">
        <f t="shared" si="5"/>
        <v>0</v>
      </c>
      <c r="J89" s="31">
        <f>Bilanca!I97</f>
        <v>0</v>
      </c>
      <c r="K89" s="31">
        <f>Bilanca!J97</f>
        <v>1269194</v>
      </c>
    </row>
    <row r="90" spans="4:11" ht="12.75">
      <c r="D90" s="4" t="s">
        <v>1521</v>
      </c>
      <c r="E90" s="4">
        <v>1</v>
      </c>
      <c r="F90" s="4">
        <f>Bilanca!G98</f>
        <v>89</v>
      </c>
      <c r="G90" s="4">
        <f>IF(Bilanca!H98=0,"",Bilanca!H98)</f>
      </c>
      <c r="H90" s="30">
        <f t="shared" si="4"/>
        <v>2259165.3200000003</v>
      </c>
      <c r="I90" s="31">
        <f t="shared" si="5"/>
        <v>0</v>
      </c>
      <c r="J90" s="31">
        <f>Bilanca!I98</f>
        <v>0</v>
      </c>
      <c r="K90" s="31">
        <f>Bilanca!J98</f>
        <v>1269194</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2362862.8</v>
      </c>
      <c r="I96" s="31">
        <f t="shared" si="5"/>
        <v>0</v>
      </c>
      <c r="J96" s="31">
        <f>Bilanca!I104</f>
        <v>744082</v>
      </c>
      <c r="K96" s="31">
        <f>Bilanca!J104</f>
        <v>871571</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t="str">
        <f>IF(Bilanca!H110=0,"",Bilanca!H110)</f>
        <v>24</v>
      </c>
      <c r="H102" s="30">
        <f t="shared" si="4"/>
        <v>2512096.2399999998</v>
      </c>
      <c r="I102" s="31">
        <f t="shared" si="5"/>
        <v>0</v>
      </c>
      <c r="J102" s="31">
        <f>Bilanca!I110</f>
        <v>744082</v>
      </c>
      <c r="K102" s="31">
        <f>Bilanca!J110</f>
        <v>871571</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78004628.54</v>
      </c>
      <c r="I108" s="31">
        <f t="shared" si="5"/>
        <v>0</v>
      </c>
      <c r="J108" s="31">
        <f>Bilanca!I116</f>
        <v>21742942</v>
      </c>
      <c r="K108" s="31">
        <f>Bilanca!J116</f>
        <v>25579290</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t="str">
        <f>IF(Bilanca!H122=0,"",Bilanca!H122)</f>
        <v>24</v>
      </c>
      <c r="H114" s="30">
        <f t="shared" si="4"/>
        <v>1861225.26</v>
      </c>
      <c r="I114" s="31">
        <f t="shared" si="5"/>
        <v>0</v>
      </c>
      <c r="J114" s="31">
        <f>Bilanca!I122</f>
        <v>382010</v>
      </c>
      <c r="K114" s="31">
        <f>Bilanca!J122</f>
        <v>632546</v>
      </c>
    </row>
    <row r="115" spans="4:11" ht="12.75">
      <c r="D115" s="4" t="s">
        <v>1521</v>
      </c>
      <c r="E115" s="4">
        <v>1</v>
      </c>
      <c r="F115" s="4">
        <f>Bilanca!G123</f>
        <v>114</v>
      </c>
      <c r="G115" s="4" t="str">
        <f>IF(Bilanca!H123=0,"",Bilanca!H123)</f>
        <v>26</v>
      </c>
      <c r="H115" s="30">
        <f t="shared" si="4"/>
        <v>5394196.140000001</v>
      </c>
      <c r="I115" s="31">
        <f t="shared" si="5"/>
        <v>0</v>
      </c>
      <c r="J115" s="31">
        <f>Bilanca!I123</f>
        <v>1705997</v>
      </c>
      <c r="K115" s="31">
        <f>Bilanca!J123</f>
        <v>1512877</v>
      </c>
    </row>
    <row r="116" spans="4:11" ht="12.75">
      <c r="D116" s="4" t="s">
        <v>1521</v>
      </c>
      <c r="E116" s="4">
        <v>1</v>
      </c>
      <c r="F116" s="4">
        <f>Bilanca!G124</f>
        <v>115</v>
      </c>
      <c r="G116" s="4" t="str">
        <f>IF(Bilanca!H124=0,"",Bilanca!H124)</f>
        <v>25</v>
      </c>
      <c r="H116" s="30">
        <f t="shared" si="4"/>
        <v>31839817.7</v>
      </c>
      <c r="I116" s="31">
        <f t="shared" si="5"/>
        <v>0</v>
      </c>
      <c r="J116" s="31">
        <f>Bilanca!I124</f>
        <v>7075092</v>
      </c>
      <c r="K116" s="31">
        <f>Bilanca!J124</f>
        <v>10305853</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t="str">
        <f>IF(Bilanca!H126=0,"",Bilanca!H126)</f>
        <v>26</v>
      </c>
      <c r="H118" s="30">
        <f t="shared" si="4"/>
        <v>5503981.86</v>
      </c>
      <c r="I118" s="31">
        <f t="shared" si="5"/>
        <v>0</v>
      </c>
      <c r="J118" s="31">
        <f>Bilanca!I126</f>
        <v>1416272</v>
      </c>
      <c r="K118" s="31">
        <f>Bilanca!J126</f>
        <v>1643993</v>
      </c>
    </row>
    <row r="119" spans="4:11" ht="12.75">
      <c r="D119" s="4" t="s">
        <v>1521</v>
      </c>
      <c r="E119" s="4">
        <v>1</v>
      </c>
      <c r="F119" s="4">
        <f>Bilanca!G127</f>
        <v>118</v>
      </c>
      <c r="G119" s="4" t="str">
        <f>IF(Bilanca!H127=0,"",Bilanca!H127)</f>
        <v>26</v>
      </c>
      <c r="H119" s="30">
        <f t="shared" si="4"/>
        <v>3386937.48</v>
      </c>
      <c r="I119" s="31">
        <f t="shared" si="5"/>
        <v>0</v>
      </c>
      <c r="J119" s="31">
        <f>Bilanca!I127</f>
        <v>1184236</v>
      </c>
      <c r="K119" s="31">
        <f>Bilanca!J127</f>
        <v>843025</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37826205.67</v>
      </c>
      <c r="I122" s="31">
        <f t="shared" si="5"/>
        <v>0</v>
      </c>
      <c r="J122" s="31">
        <f>Bilanca!I130</f>
        <v>9979335</v>
      </c>
      <c r="K122" s="31">
        <f>Bilanca!J130</f>
        <v>10640996</v>
      </c>
    </row>
    <row r="123" spans="4:11" ht="12.75">
      <c r="D123" s="4" t="s">
        <v>1521</v>
      </c>
      <c r="E123" s="4">
        <v>1</v>
      </c>
      <c r="F123" s="4">
        <f>Bilanca!G131</f>
        <v>122</v>
      </c>
      <c r="G123" s="4" t="str">
        <f>IF(Bilanca!H131=0,"",Bilanca!H131)</f>
        <v>27</v>
      </c>
      <c r="H123" s="30">
        <f t="shared" si="4"/>
        <v>1380265766.04</v>
      </c>
      <c r="I123" s="31">
        <f t="shared" si="5"/>
        <v>0</v>
      </c>
      <c r="J123" s="31">
        <f>Bilanca!I131</f>
        <v>376600134</v>
      </c>
      <c r="K123" s="31">
        <f>Bilanca!J131</f>
        <v>377382624</v>
      </c>
    </row>
    <row r="124" spans="4:11" ht="12.75">
      <c r="D124" s="4" t="s">
        <v>1521</v>
      </c>
      <c r="E124" s="4">
        <v>1</v>
      </c>
      <c r="F124" s="4">
        <f>Bilanca!G132</f>
        <v>123</v>
      </c>
      <c r="G124" s="4">
        <f>IF(Bilanca!H132=0,"",Bilanca!H132)</f>
      </c>
      <c r="H124" s="30">
        <f t="shared" si="4"/>
        <v>2077583056.68</v>
      </c>
      <c r="I124" s="31">
        <f t="shared" si="5"/>
        <v>0</v>
      </c>
      <c r="J124" s="31">
        <f>Bilanca!I132</f>
        <v>558958910</v>
      </c>
      <c r="K124" s="31">
        <f>Bilanca!J132</f>
        <v>565066503</v>
      </c>
    </row>
    <row r="125" spans="4:11" ht="12.75">
      <c r="D125" s="4" t="s">
        <v>1521</v>
      </c>
      <c r="E125" s="4">
        <v>1</v>
      </c>
      <c r="F125" s="4">
        <f>Bilanca!G133</f>
        <v>124</v>
      </c>
      <c r="G125" s="4">
        <f>IF(Bilanca!H133=0,"",Bilanca!H133)</f>
      </c>
      <c r="H125" s="30">
        <f t="shared" si="4"/>
        <v>2663.52</v>
      </c>
      <c r="I125" s="31">
        <f t="shared" si="5"/>
        <v>0</v>
      </c>
      <c r="J125" s="31">
        <f>Bilanca!I133</f>
        <v>2148</v>
      </c>
      <c r="K125" s="31">
        <f>Bilanca!J133</f>
        <v>0</v>
      </c>
    </row>
    <row r="126" spans="4:11" ht="12.75">
      <c r="D126" s="4" t="s">
        <v>541</v>
      </c>
      <c r="E126" s="4">
        <v>2</v>
      </c>
      <c r="F126" s="4">
        <f>RDG!G8</f>
        <v>125</v>
      </c>
      <c r="G126" s="4">
        <f>IF(RDG!H8=0,"",RDG!H8)</f>
      </c>
      <c r="H126" s="30">
        <f t="shared" si="4"/>
        <v>320452710</v>
      </c>
      <c r="I126" s="4">
        <f t="shared" si="5"/>
        <v>0</v>
      </c>
      <c r="J126" s="31">
        <f>RDG!I8</f>
        <v>81559716</v>
      </c>
      <c r="K126" s="31">
        <f>RDG!J8</f>
        <v>87401226</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t="str">
        <f>IF(RDG!H10=0,"",RDG!H10)</f>
        <v>7</v>
      </c>
      <c r="H128" s="30">
        <f aca="true" t="shared" si="6" ref="H128:H190">J128/100*F128+2*K128/100*F128</f>
        <v>236818209.37</v>
      </c>
      <c r="I128" s="4">
        <f aca="true" t="shared" si="7" ref="I128:I190">ABS(ROUND(J128,0)-J128)+ABS(ROUND(K128,0)-K128)</f>
        <v>0</v>
      </c>
      <c r="J128" s="31">
        <f>RDG!I10</f>
        <v>60498791</v>
      </c>
      <c r="K128" s="31">
        <f>RDG!J10</f>
        <v>62986120</v>
      </c>
    </row>
    <row r="129" spans="4:11" ht="12.75">
      <c r="D129" s="4" t="s">
        <v>541</v>
      </c>
      <c r="E129" s="4">
        <v>2</v>
      </c>
      <c r="F129" s="4">
        <f>RDG!G11</f>
        <v>128</v>
      </c>
      <c r="G129" s="4" t="str">
        <f>IF(RDG!H11=0,"",RDG!H11)</f>
        <v>8</v>
      </c>
      <c r="H129" s="30">
        <f t="shared" si="6"/>
        <v>7456675.84</v>
      </c>
      <c r="I129" s="4">
        <f t="shared" si="7"/>
        <v>0</v>
      </c>
      <c r="J129" s="31">
        <f>RDG!I11</f>
        <v>2119808</v>
      </c>
      <c r="K129" s="31">
        <f>RDG!J11</f>
        <v>1852860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t="str">
        <f>IF(RDG!H13=0,"",RDG!H13)</f>
        <v>8</v>
      </c>
      <c r="H131" s="30">
        <f t="shared" si="6"/>
        <v>83285291.7</v>
      </c>
      <c r="I131" s="4">
        <f t="shared" si="7"/>
        <v>0</v>
      </c>
      <c r="J131" s="31">
        <f>RDG!I13</f>
        <v>18941117</v>
      </c>
      <c r="K131" s="31">
        <f>RDG!J13</f>
        <v>22562246</v>
      </c>
    </row>
    <row r="132" spans="4:11" ht="12.75">
      <c r="D132" s="4" t="s">
        <v>541</v>
      </c>
      <c r="E132" s="4">
        <v>2</v>
      </c>
      <c r="F132" s="4">
        <f>RDG!G14</f>
        <v>131</v>
      </c>
      <c r="G132" s="4">
        <f>IF(RDG!H14=0,"",RDG!H14)</f>
      </c>
      <c r="H132" s="30">
        <f t="shared" si="6"/>
        <v>339070653.6</v>
      </c>
      <c r="I132" s="4">
        <f t="shared" si="7"/>
        <v>0</v>
      </c>
      <c r="J132" s="31">
        <f>RDG!I14</f>
        <v>80366014</v>
      </c>
      <c r="K132" s="31">
        <f>RDG!J14</f>
        <v>89233273</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125828945.9</v>
      </c>
      <c r="I134" s="4">
        <f t="shared" si="7"/>
        <v>0</v>
      </c>
      <c r="J134" s="31">
        <f>RDG!I16</f>
        <v>27717940</v>
      </c>
      <c r="K134" s="31">
        <f>RDG!J16</f>
        <v>33445145</v>
      </c>
    </row>
    <row r="135" spans="4:11" ht="12.75">
      <c r="D135" s="4" t="s">
        <v>541</v>
      </c>
      <c r="E135" s="4">
        <v>2</v>
      </c>
      <c r="F135" s="4">
        <f>RDG!G17</f>
        <v>134</v>
      </c>
      <c r="G135" s="4" t="str">
        <f>IF(RDG!H17=0,"",RDG!H17)</f>
        <v>9</v>
      </c>
      <c r="H135" s="30">
        <f t="shared" si="6"/>
        <v>91875674.24</v>
      </c>
      <c r="I135" s="4">
        <f t="shared" si="7"/>
        <v>0</v>
      </c>
      <c r="J135" s="31">
        <f>RDG!I17</f>
        <v>19839740</v>
      </c>
      <c r="K135" s="31">
        <f>RDG!J17</f>
        <v>24362098</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t="str">
        <f>IF(RDG!H19=0,"",RDG!H19)</f>
        <v>9</v>
      </c>
      <c r="H137" s="30">
        <f t="shared" si="6"/>
        <v>35420239.84</v>
      </c>
      <c r="I137" s="4">
        <f t="shared" si="7"/>
        <v>0</v>
      </c>
      <c r="J137" s="31">
        <f>RDG!I19</f>
        <v>7878200</v>
      </c>
      <c r="K137" s="31">
        <f>RDG!J19</f>
        <v>9083047</v>
      </c>
    </row>
    <row r="138" spans="4:11" ht="12.75">
      <c r="D138" s="4" t="s">
        <v>541</v>
      </c>
      <c r="E138" s="4">
        <v>2</v>
      </c>
      <c r="F138" s="4">
        <f>RDG!G20</f>
        <v>137</v>
      </c>
      <c r="G138" s="4">
        <f>IF(RDG!H20=0,"",RDG!H20)</f>
      </c>
      <c r="H138" s="30">
        <f t="shared" si="6"/>
        <v>124219334.38999999</v>
      </c>
      <c r="I138" s="4">
        <f t="shared" si="7"/>
        <v>0</v>
      </c>
      <c r="J138" s="31">
        <f>RDG!I20</f>
        <v>27598085</v>
      </c>
      <c r="K138" s="31">
        <f>RDG!J20</f>
        <v>31536481</v>
      </c>
    </row>
    <row r="139" spans="4:11" ht="12.75">
      <c r="D139" s="4" t="s">
        <v>541</v>
      </c>
      <c r="E139" s="4">
        <v>2</v>
      </c>
      <c r="F139" s="4">
        <f>RDG!G21</f>
        <v>138</v>
      </c>
      <c r="G139" s="4" t="str">
        <f>IF(RDG!H21=0,"",RDG!H21)</f>
        <v>10</v>
      </c>
      <c r="H139" s="30">
        <f t="shared" si="6"/>
        <v>86497607.88</v>
      </c>
      <c r="I139" s="4">
        <f t="shared" si="7"/>
        <v>0</v>
      </c>
      <c r="J139" s="31">
        <f>RDG!I21</f>
        <v>19052130</v>
      </c>
      <c r="K139" s="31">
        <f>RDG!J21</f>
        <v>21813648</v>
      </c>
    </row>
    <row r="140" spans="4:11" ht="12.75">
      <c r="D140" s="4" t="s">
        <v>541</v>
      </c>
      <c r="E140" s="4">
        <v>2</v>
      </c>
      <c r="F140" s="4">
        <f>RDG!G22</f>
        <v>139</v>
      </c>
      <c r="G140" s="4" t="str">
        <f>IF(RDG!H22=0,"",RDG!H22)</f>
        <v>10</v>
      </c>
      <c r="H140" s="30">
        <f t="shared" si="6"/>
        <v>23553077.4</v>
      </c>
      <c r="I140" s="4">
        <f t="shared" si="7"/>
        <v>0</v>
      </c>
      <c r="J140" s="31">
        <f>RDG!I22</f>
        <v>5029320</v>
      </c>
      <c r="K140" s="31">
        <f>RDG!J22</f>
        <v>5957670</v>
      </c>
    </row>
    <row r="141" spans="4:11" ht="12.75">
      <c r="D141" s="4" t="s">
        <v>541</v>
      </c>
      <c r="E141" s="4">
        <v>2</v>
      </c>
      <c r="F141" s="4">
        <f>RDG!G23</f>
        <v>140</v>
      </c>
      <c r="G141" s="4" t="str">
        <f>IF(RDG!H23=0,"",RDG!H23)</f>
        <v>10</v>
      </c>
      <c r="H141" s="30">
        <f t="shared" si="6"/>
        <v>15465745.399999999</v>
      </c>
      <c r="I141" s="4">
        <f t="shared" si="7"/>
        <v>0</v>
      </c>
      <c r="J141" s="31">
        <f>RDG!I23</f>
        <v>3516635</v>
      </c>
      <c r="K141" s="31">
        <f>RDG!J23</f>
        <v>3765163</v>
      </c>
    </row>
    <row r="142" spans="4:11" ht="12.75">
      <c r="D142" s="4" t="s">
        <v>541</v>
      </c>
      <c r="E142" s="4">
        <v>2</v>
      </c>
      <c r="F142" s="4">
        <f>RDG!G24</f>
        <v>141</v>
      </c>
      <c r="G142" s="4">
        <f>IF(RDG!H24=0,"",RDG!H24)</f>
      </c>
      <c r="H142" s="30">
        <f t="shared" si="6"/>
        <v>70673607.66</v>
      </c>
      <c r="I142" s="4">
        <f t="shared" si="7"/>
        <v>0</v>
      </c>
      <c r="J142" s="31">
        <f>RDG!I24</f>
        <v>16805848</v>
      </c>
      <c r="K142" s="31">
        <f>RDG!J24</f>
        <v>16658639</v>
      </c>
    </row>
    <row r="143" spans="4:11" ht="12.75">
      <c r="D143" s="4" t="s">
        <v>541</v>
      </c>
      <c r="E143" s="4">
        <v>2</v>
      </c>
      <c r="F143" s="4">
        <f>RDG!G25</f>
        <v>142</v>
      </c>
      <c r="G143" s="4" t="str">
        <f>IF(RDG!H25=0,"",RDG!H25)</f>
        <v>11</v>
      </c>
      <c r="H143" s="30">
        <f t="shared" si="6"/>
        <v>10187222</v>
      </c>
      <c r="I143" s="4">
        <f t="shared" si="7"/>
        <v>0</v>
      </c>
      <c r="J143" s="31">
        <f>RDG!I25</f>
        <v>3186816</v>
      </c>
      <c r="K143" s="31">
        <f>RDG!J25</f>
        <v>1993642</v>
      </c>
    </row>
    <row r="144" spans="4:11" ht="12.75">
      <c r="D144" s="4" t="s">
        <v>541</v>
      </c>
      <c r="E144" s="4">
        <v>2</v>
      </c>
      <c r="F144" s="4">
        <f>RDG!G26</f>
        <v>143</v>
      </c>
      <c r="G144" s="4">
        <f>IF(RDG!H26=0,"",RDG!H26)</f>
      </c>
      <c r="H144" s="30">
        <f t="shared" si="6"/>
        <v>16711646.38</v>
      </c>
      <c r="I144" s="4">
        <f t="shared" si="7"/>
        <v>0</v>
      </c>
      <c r="J144" s="31">
        <f>RDG!I26</f>
        <v>4493034</v>
      </c>
      <c r="K144" s="31">
        <f>RDG!J26</f>
        <v>3596716</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t="str">
        <f>IF(RDG!H28=0,"",RDG!H28)</f>
        <v>11</v>
      </c>
      <c r="H146" s="30">
        <f t="shared" si="6"/>
        <v>16945375.7</v>
      </c>
      <c r="I146" s="4">
        <f t="shared" si="7"/>
        <v>0</v>
      </c>
      <c r="J146" s="31">
        <f>RDG!I28</f>
        <v>4493034</v>
      </c>
      <c r="K146" s="31">
        <f>RDG!J28</f>
        <v>3596716</v>
      </c>
    </row>
    <row r="147" spans="4:11" ht="12.75">
      <c r="D147" s="4" t="s">
        <v>541</v>
      </c>
      <c r="E147" s="4">
        <v>2</v>
      </c>
      <c r="F147" s="4">
        <f>RDG!G29</f>
        <v>146</v>
      </c>
      <c r="G147" s="4">
        <f>IF(RDG!H29=0,"",RDG!H29)</f>
      </c>
      <c r="H147" s="30">
        <f t="shared" si="6"/>
        <v>3706046.48</v>
      </c>
      <c r="I147" s="4">
        <f t="shared" si="7"/>
        <v>0</v>
      </c>
      <c r="J147" s="31">
        <f>RDG!I29</f>
        <v>0</v>
      </c>
      <c r="K147" s="31">
        <f>RDG!J29</f>
        <v>1269194</v>
      </c>
    </row>
    <row r="148" spans="4:11" ht="12.75">
      <c r="D148" s="4" t="s">
        <v>541</v>
      </c>
      <c r="E148" s="4">
        <v>2</v>
      </c>
      <c r="F148" s="4">
        <f>RDG!G30</f>
        <v>147</v>
      </c>
      <c r="G148" s="4" t="str">
        <f>IF(RDG!H30=0,"",RDG!H30)</f>
        <v>11</v>
      </c>
      <c r="H148" s="30">
        <f t="shared" si="6"/>
        <v>3731430.3600000003</v>
      </c>
      <c r="I148" s="4">
        <f t="shared" si="7"/>
        <v>0</v>
      </c>
      <c r="J148" s="31">
        <f>RDG!I30</f>
        <v>0</v>
      </c>
      <c r="K148" s="31">
        <f>RDG!J30</f>
        <v>1269194</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t="str">
        <f>IF(RDG!H36=0,"",RDG!H36)</f>
        <v>11</v>
      </c>
      <c r="H154" s="30">
        <f t="shared" si="6"/>
        <v>3107740.5900000003</v>
      </c>
      <c r="I154" s="4">
        <f t="shared" si="7"/>
        <v>0</v>
      </c>
      <c r="J154" s="31">
        <f>RDG!I36</f>
        <v>564291</v>
      </c>
      <c r="K154" s="31">
        <f>RDG!J36</f>
        <v>733456</v>
      </c>
    </row>
    <row r="155" spans="4:11" ht="12.75">
      <c r="D155" s="4" t="s">
        <v>541</v>
      </c>
      <c r="E155" s="4">
        <v>2</v>
      </c>
      <c r="F155" s="4">
        <f>RDG!G37</f>
        <v>154</v>
      </c>
      <c r="G155" s="4">
        <f>IF(RDG!H37=0,"",RDG!H37)</f>
      </c>
      <c r="H155" s="30">
        <f t="shared" si="6"/>
        <v>8691174.799999999</v>
      </c>
      <c r="I155" s="4">
        <f t="shared" si="7"/>
        <v>0</v>
      </c>
      <c r="J155" s="31">
        <f>RDG!I37</f>
        <v>1155186</v>
      </c>
      <c r="K155" s="31">
        <f>RDG!J37</f>
        <v>2244217</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t="str">
        <f>IF(RDG!H44=0,"",RDG!H44)</f>
        <v>12</v>
      </c>
      <c r="H162" s="30">
        <f t="shared" si="6"/>
        <v>9078260.31</v>
      </c>
      <c r="I162" s="4">
        <f t="shared" si="7"/>
        <v>0</v>
      </c>
      <c r="J162" s="31">
        <f>RDG!I44</f>
        <v>1150717</v>
      </c>
      <c r="K162" s="31">
        <f>RDG!J44</f>
        <v>2243977</v>
      </c>
    </row>
    <row r="163" spans="4:11" ht="12.75">
      <c r="D163" s="4" t="s">
        <v>541</v>
      </c>
      <c r="E163" s="4">
        <v>2</v>
      </c>
      <c r="F163" s="4">
        <f>RDG!G45</f>
        <v>162</v>
      </c>
      <c r="G163" s="4" t="str">
        <f>IF(RDG!H45=0,"",RDG!H45)</f>
        <v>12</v>
      </c>
      <c r="H163" s="30">
        <f t="shared" si="6"/>
        <v>8017.38</v>
      </c>
      <c r="I163" s="4">
        <f t="shared" si="7"/>
        <v>0</v>
      </c>
      <c r="J163" s="31">
        <f>RDG!I45</f>
        <v>4469</v>
      </c>
      <c r="K163" s="31">
        <f>RDG!J45</f>
        <v>240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3331021.65</v>
      </c>
      <c r="I166" s="4">
        <f t="shared" si="7"/>
        <v>0</v>
      </c>
      <c r="J166" s="31">
        <f>RDG!I48</f>
        <v>1868295</v>
      </c>
      <c r="K166" s="31">
        <f>RDG!J48</f>
        <v>75253</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t="str">
        <f>IF(RDG!H51=0,"",RDG!H51)</f>
        <v>13</v>
      </c>
      <c r="H169" s="30">
        <f t="shared" si="6"/>
        <v>310672.32</v>
      </c>
      <c r="I169" s="4">
        <f t="shared" si="7"/>
        <v>0</v>
      </c>
      <c r="J169" s="31">
        <f>RDG!I51</f>
        <v>43184</v>
      </c>
      <c r="K169" s="31">
        <f>RDG!J51</f>
        <v>70870</v>
      </c>
    </row>
    <row r="170" spans="4:11" ht="12.75">
      <c r="D170" s="4" t="s">
        <v>541</v>
      </c>
      <c r="E170" s="4">
        <v>2</v>
      </c>
      <c r="F170" s="4">
        <f>RDG!G52</f>
        <v>169</v>
      </c>
      <c r="G170" s="4" t="str">
        <f>IF(RDG!H52=0,"",RDG!H52)</f>
        <v>13</v>
      </c>
      <c r="H170" s="30">
        <f t="shared" si="6"/>
        <v>33041.189999999995</v>
      </c>
      <c r="I170" s="4">
        <f t="shared" si="7"/>
        <v>0</v>
      </c>
      <c r="J170" s="31">
        <f>RDG!I52</f>
        <v>10785</v>
      </c>
      <c r="K170" s="31">
        <f>RDG!J52</f>
        <v>4383</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t="str">
        <f>IF(RDG!H55=0,"",RDG!H55)</f>
        <v>13</v>
      </c>
      <c r="H173" s="30">
        <f t="shared" si="6"/>
        <v>3120640.7199999997</v>
      </c>
      <c r="I173" s="4">
        <f t="shared" si="7"/>
        <v>0</v>
      </c>
      <c r="J173" s="31">
        <f>RDG!I55</f>
        <v>1814326</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463750244.76</v>
      </c>
      <c r="I178" s="4">
        <f t="shared" si="7"/>
        <v>0</v>
      </c>
      <c r="J178" s="31">
        <f>RDG!I60</f>
        <v>82714902</v>
      </c>
      <c r="K178" s="31">
        <f>RDG!J60</f>
        <v>89645443</v>
      </c>
    </row>
    <row r="179" spans="4:11" ht="12.75">
      <c r="D179" s="4" t="s">
        <v>541</v>
      </c>
      <c r="E179" s="4">
        <v>2</v>
      </c>
      <c r="F179" s="4">
        <f>RDG!G61</f>
        <v>178</v>
      </c>
      <c r="G179" s="4">
        <f>IF(RDG!H61=0,"",RDG!H61)</f>
      </c>
      <c r="H179" s="30">
        <f t="shared" si="6"/>
        <v>464315422.58</v>
      </c>
      <c r="I179" s="4">
        <f t="shared" si="7"/>
        <v>0</v>
      </c>
      <c r="J179" s="31">
        <f>RDG!I61</f>
        <v>82234309</v>
      </c>
      <c r="K179" s="31">
        <f>RDG!J61</f>
        <v>89308526</v>
      </c>
    </row>
    <row r="180" spans="4:11" ht="12.75">
      <c r="D180" s="4" t="s">
        <v>541</v>
      </c>
      <c r="E180" s="4">
        <v>2</v>
      </c>
      <c r="F180" s="4">
        <f>RDG!G62</f>
        <v>179</v>
      </c>
      <c r="G180" s="4" t="str">
        <f>IF(RDG!H62=0,"",RDG!H62)</f>
        <v>14</v>
      </c>
      <c r="H180" s="30">
        <f t="shared" si="6"/>
        <v>2066424.33</v>
      </c>
      <c r="I180" s="4">
        <f t="shared" si="7"/>
        <v>0</v>
      </c>
      <c r="J180" s="31">
        <f>RDG!I62</f>
        <v>480593</v>
      </c>
      <c r="K180" s="31">
        <f>RDG!J62</f>
        <v>336917</v>
      </c>
    </row>
    <row r="181" spans="4:11" ht="12.75">
      <c r="D181" s="4" t="s">
        <v>541</v>
      </c>
      <c r="E181" s="4">
        <v>2</v>
      </c>
      <c r="F181" s="4">
        <f>RDG!G63</f>
        <v>180</v>
      </c>
      <c r="G181" s="4">
        <f>IF(RDG!H63=0,"",RDG!H63)</f>
      </c>
      <c r="H181" s="30">
        <f t="shared" si="6"/>
        <v>2077968.6</v>
      </c>
      <c r="I181" s="4">
        <f t="shared" si="7"/>
        <v>0</v>
      </c>
      <c r="J181" s="31">
        <f>RDG!I63</f>
        <v>480593</v>
      </c>
      <c r="K181" s="31">
        <f>RDG!J63</f>
        <v>336917</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1881960.08</v>
      </c>
      <c r="I183" s="4">
        <f t="shared" si="7"/>
        <v>0</v>
      </c>
      <c r="J183" s="31">
        <f>RDG!I65</f>
        <v>465340</v>
      </c>
      <c r="K183" s="31">
        <f>RDG!J65</f>
        <v>284352</v>
      </c>
    </row>
    <row r="184" spans="4:11" ht="12.75">
      <c r="D184" s="4" t="s">
        <v>541</v>
      </c>
      <c r="E184" s="4">
        <v>2</v>
      </c>
      <c r="F184" s="4">
        <f>RDG!G66</f>
        <v>183</v>
      </c>
      <c r="G184" s="4">
        <f>IF(RDG!H66=0,"",RDG!H66)</f>
      </c>
      <c r="H184" s="30">
        <f t="shared" si="6"/>
        <v>220300.88999999998</v>
      </c>
      <c r="I184" s="4">
        <f t="shared" si="7"/>
        <v>0</v>
      </c>
      <c r="J184" s="31">
        <f>RDG!I66</f>
        <v>15253</v>
      </c>
      <c r="K184" s="31">
        <f>RDG!J66</f>
        <v>52565</v>
      </c>
    </row>
    <row r="185" spans="4:11" ht="12.75">
      <c r="D185" s="4" t="s">
        <v>541</v>
      </c>
      <c r="E185" s="4">
        <v>2</v>
      </c>
      <c r="F185" s="4">
        <f>RDG!G67</f>
        <v>184</v>
      </c>
      <c r="G185" s="4">
        <f>IF(RDG!H67=0,"",RDG!H67)</f>
      </c>
      <c r="H185" s="30">
        <f t="shared" si="6"/>
        <v>221504.71999999997</v>
      </c>
      <c r="I185" s="4">
        <f t="shared" si="7"/>
        <v>0</v>
      </c>
      <c r="J185" s="31">
        <f>RDG!I67</f>
        <v>15253</v>
      </c>
      <c r="K185" s="31">
        <f>RDG!J67</f>
        <v>52565</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t="str">
        <f>IF(RDG!H89=0,"",RDG!H89)</f>
        <v>14</v>
      </c>
      <c r="H203" s="30">
        <f t="shared" si="8"/>
        <v>243173.65999999997</v>
      </c>
      <c r="I203" s="4">
        <f t="shared" si="9"/>
        <v>0</v>
      </c>
      <c r="J203" s="31">
        <f>RDG!I89</f>
        <v>15253</v>
      </c>
      <c r="K203" s="31">
        <f>RDG!J89</f>
        <v>52565</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257619.62</v>
      </c>
      <c r="I215" s="4">
        <f t="shared" si="9"/>
        <v>0</v>
      </c>
      <c r="J215" s="31">
        <f>RDG!I101</f>
        <v>15253</v>
      </c>
      <c r="K215" s="31">
        <f>RDG!J101</f>
        <v>52565</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t="str">
        <f>IF(NT_I!H9&lt;&gt;"",NT_I!H9,"")</f>
        <v>14</v>
      </c>
      <c r="H289" s="30">
        <f t="shared" si="14"/>
        <v>11544.27</v>
      </c>
      <c r="I289" s="4">
        <f t="shared" si="15"/>
        <v>0</v>
      </c>
      <c r="J289" s="31">
        <f>NT_I!I9</f>
        <v>480593</v>
      </c>
      <c r="K289" s="31">
        <f>NT_I!J9</f>
        <v>336917</v>
      </c>
    </row>
    <row r="290" spans="4:11" ht="12.75">
      <c r="D290" s="4" t="s">
        <v>1523</v>
      </c>
      <c r="E290" s="4">
        <v>4</v>
      </c>
      <c r="F290" s="4">
        <f>NT_I!G10</f>
        <v>2</v>
      </c>
      <c r="G290" s="4">
        <f>IF(NT_I!H10&lt;&gt;"",NT_I!H10,"")</f>
      </c>
      <c r="H290" s="30">
        <f t="shared" si="14"/>
        <v>525203</v>
      </c>
      <c r="I290" s="4">
        <f t="shared" si="15"/>
        <v>0</v>
      </c>
      <c r="J290" s="31">
        <f>NT_I!I10</f>
        <v>10424006</v>
      </c>
      <c r="K290" s="31">
        <f>NT_I!J10</f>
        <v>7918072</v>
      </c>
    </row>
    <row r="291" spans="4:11" ht="12.75">
      <c r="D291" s="4" t="s">
        <v>1523</v>
      </c>
      <c r="E291" s="4">
        <v>4</v>
      </c>
      <c r="F291" s="4">
        <f>NT_I!G11</f>
        <v>3</v>
      </c>
      <c r="G291" s="4" t="str">
        <f>IF(NT_I!H11&lt;&gt;"",NT_I!H11,"")</f>
        <v>15</v>
      </c>
      <c r="H291" s="30">
        <f t="shared" si="14"/>
        <v>1503693.7800000003</v>
      </c>
      <c r="I291" s="4">
        <f t="shared" si="15"/>
        <v>0</v>
      </c>
      <c r="J291" s="31">
        <f>NT_I!I11</f>
        <v>16805848</v>
      </c>
      <c r="K291" s="31">
        <f>NT_I!J11</f>
        <v>16658639</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t="str">
        <f>IF(NT_I!H13&lt;&gt;"",NT_I!H13,"")</f>
        <v>16</v>
      </c>
      <c r="H293" s="30">
        <f t="shared" si="16"/>
        <v>88535.35</v>
      </c>
      <c r="I293" s="4">
        <f t="shared" si="17"/>
        <v>0</v>
      </c>
      <c r="J293" s="31">
        <f>NT_I!I13</f>
        <v>1814325</v>
      </c>
      <c r="K293" s="31">
        <f>NT_I!J13</f>
        <v>-21809</v>
      </c>
    </row>
    <row r="294" spans="4:11" ht="12.75">
      <c r="D294" s="4" t="s">
        <v>1523</v>
      </c>
      <c r="E294" s="4">
        <v>4</v>
      </c>
      <c r="F294" s="4">
        <f>NT_I!G14</f>
        <v>6</v>
      </c>
      <c r="G294" s="4" t="str">
        <f>IF(NT_I!H14&lt;&gt;"",NT_I!H14,"")</f>
        <v>12</v>
      </c>
      <c r="H294" s="30">
        <f t="shared" si="16"/>
        <v>-282461.52</v>
      </c>
      <c r="I294" s="4">
        <f t="shared" si="17"/>
        <v>0</v>
      </c>
      <c r="J294" s="31">
        <f>NT_I!I14</f>
        <v>-1155186</v>
      </c>
      <c r="K294" s="31">
        <f>NT_I!J14</f>
        <v>-1776253</v>
      </c>
    </row>
    <row r="295" spans="4:11" ht="12.75">
      <c r="D295" s="4" t="s">
        <v>1523</v>
      </c>
      <c r="E295" s="4">
        <v>4</v>
      </c>
      <c r="F295" s="4">
        <f>NT_I!G15</f>
        <v>7</v>
      </c>
      <c r="G295" s="4" t="str">
        <f>IF(NT_I!H15&lt;&gt;"",NT_I!H15,"")</f>
        <v>13</v>
      </c>
      <c r="H295" s="30">
        <f t="shared" si="16"/>
        <v>13558.37</v>
      </c>
      <c r="I295" s="4">
        <f t="shared" si="17"/>
        <v>0</v>
      </c>
      <c r="J295" s="31">
        <f>NT_I!I15</f>
        <v>43185</v>
      </c>
      <c r="K295" s="31">
        <f>NT_I!J15</f>
        <v>75253</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-2111968.2</v>
      </c>
      <c r="I298" s="4">
        <f t="shared" si="17"/>
        <v>0</v>
      </c>
      <c r="J298" s="31">
        <f>NT_I!I18</f>
        <v>-7084166</v>
      </c>
      <c r="K298" s="31">
        <f>NT_I!J18</f>
        <v>-7017758</v>
      </c>
    </row>
    <row r="299" spans="4:11" ht="12.75">
      <c r="D299" s="4" t="s">
        <v>1523</v>
      </c>
      <c r="E299" s="4">
        <v>4</v>
      </c>
      <c r="F299" s="4">
        <f>NT_I!G19</f>
        <v>11</v>
      </c>
      <c r="G299" s="4">
        <f>IF(NT_I!H19&lt;&gt;"",NT_I!H19,"")</f>
      </c>
      <c r="H299" s="30">
        <f t="shared" si="16"/>
        <v>3015603.47</v>
      </c>
      <c r="I299" s="4">
        <f t="shared" si="17"/>
        <v>0</v>
      </c>
      <c r="J299" s="31">
        <f>NT_I!I19</f>
        <v>10904599</v>
      </c>
      <c r="K299" s="31">
        <f>NT_I!J19</f>
        <v>8254989</v>
      </c>
    </row>
    <row r="300" spans="4:11" ht="12.75">
      <c r="D300" s="4" t="s">
        <v>1523</v>
      </c>
      <c r="E300" s="4">
        <v>4</v>
      </c>
      <c r="F300" s="4">
        <f>NT_I!G20</f>
        <v>12</v>
      </c>
      <c r="G300" s="4">
        <f>IF(NT_I!H20&lt;&gt;"",NT_I!H20,"")</f>
      </c>
      <c r="H300" s="30">
        <f t="shared" si="16"/>
        <v>-136125.47999999998</v>
      </c>
      <c r="I300" s="4">
        <f t="shared" si="17"/>
        <v>0</v>
      </c>
      <c r="J300" s="31">
        <f>NT_I!I20</f>
        <v>-3011891</v>
      </c>
      <c r="K300" s="31">
        <f>NT_I!J20</f>
        <v>938756</v>
      </c>
    </row>
    <row r="301" spans="4:11" ht="12.75">
      <c r="D301" s="4" t="s">
        <v>1523</v>
      </c>
      <c r="E301" s="4">
        <v>4</v>
      </c>
      <c r="F301" s="4">
        <f>NT_I!G21</f>
        <v>13</v>
      </c>
      <c r="G301" s="4" t="str">
        <f>IF(NT_I!H21&lt;&gt;"",NT_I!H21,"")</f>
        <v>25</v>
      </c>
      <c r="H301" s="30">
        <f t="shared" si="16"/>
        <v>585218.14</v>
      </c>
      <c r="I301" s="4">
        <f t="shared" si="17"/>
        <v>0</v>
      </c>
      <c r="J301" s="31">
        <f>NT_I!I21</f>
        <v>-1959846</v>
      </c>
      <c r="K301" s="31">
        <f>NT_I!J21</f>
        <v>3230762</v>
      </c>
    </row>
    <row r="302" spans="4:11" ht="12.75">
      <c r="D302" s="4" t="s">
        <v>1523</v>
      </c>
      <c r="E302" s="4">
        <v>4</v>
      </c>
      <c r="F302" s="4">
        <f>NT_I!G22</f>
        <v>14</v>
      </c>
      <c r="G302" s="4" t="str">
        <f>IF(NT_I!H22&lt;&gt;"",NT_I!H22,"")</f>
        <v>18</v>
      </c>
      <c r="H302" s="30">
        <f t="shared" si="16"/>
        <v>-356567.54000000004</v>
      </c>
      <c r="I302" s="4">
        <f t="shared" si="17"/>
        <v>0</v>
      </c>
      <c r="J302" s="31">
        <f>NT_I!I22</f>
        <v>466491</v>
      </c>
      <c r="K302" s="31">
        <f>NT_I!J22</f>
        <v>-1506701</v>
      </c>
    </row>
    <row r="303" spans="4:11" ht="12.75">
      <c r="D303" s="4" t="s">
        <v>1523</v>
      </c>
      <c r="E303" s="4">
        <v>4</v>
      </c>
      <c r="F303" s="4">
        <f>NT_I!G23</f>
        <v>15</v>
      </c>
      <c r="G303" s="4" t="str">
        <f>IF(NT_I!H23&lt;&gt;"",NT_I!H23,"")</f>
        <v>17</v>
      </c>
      <c r="H303" s="30">
        <f t="shared" si="16"/>
        <v>-277619.7</v>
      </c>
      <c r="I303" s="4">
        <f t="shared" si="17"/>
        <v>0</v>
      </c>
      <c r="J303" s="31">
        <f>NT_I!I23</f>
        <v>-1071410</v>
      </c>
      <c r="K303" s="31">
        <f>NT_I!J23</f>
        <v>-389694</v>
      </c>
    </row>
    <row r="304" spans="4:11" ht="12.75">
      <c r="D304" s="4" t="s">
        <v>1523</v>
      </c>
      <c r="E304" s="4">
        <v>4</v>
      </c>
      <c r="F304" s="4">
        <f>NT_I!G24</f>
        <v>16</v>
      </c>
      <c r="G304" s="4">
        <f>IF(NT_I!H24&lt;&gt;"",NT_I!H24,"")</f>
      </c>
      <c r="H304" s="30">
        <f t="shared" si="16"/>
        <v>-198135.68</v>
      </c>
      <c r="I304" s="4">
        <f t="shared" si="17"/>
        <v>0</v>
      </c>
      <c r="J304" s="31">
        <f>NT_I!I24</f>
        <v>-447126</v>
      </c>
      <c r="K304" s="31">
        <f>NT_I!J24</f>
        <v>-395611</v>
      </c>
    </row>
    <row r="305" spans="4:11" ht="12.75">
      <c r="D305" s="4" t="s">
        <v>1523</v>
      </c>
      <c r="E305" s="4">
        <v>4</v>
      </c>
      <c r="F305" s="4">
        <f>NT_I!G25</f>
        <v>17</v>
      </c>
      <c r="G305" s="4">
        <f>IF(NT_I!H25&lt;&gt;"",NT_I!H25,"")</f>
      </c>
      <c r="H305" s="30">
        <f t="shared" si="16"/>
        <v>4467633.66</v>
      </c>
      <c r="I305" s="4">
        <f t="shared" si="17"/>
        <v>0</v>
      </c>
      <c r="J305" s="31">
        <f>NT_I!I25</f>
        <v>7892708</v>
      </c>
      <c r="K305" s="31">
        <f>NT_I!J25</f>
        <v>9193745</v>
      </c>
    </row>
    <row r="306" spans="4:11" ht="12.75">
      <c r="D306" s="4" t="s">
        <v>1523</v>
      </c>
      <c r="E306" s="4">
        <v>4</v>
      </c>
      <c r="F306" s="4">
        <f>NT_I!G26</f>
        <v>18</v>
      </c>
      <c r="G306" s="4" t="str">
        <f>IF(NT_I!H26&lt;&gt;"",NT_I!H26,"")</f>
        <v>13</v>
      </c>
      <c r="H306" s="30">
        <f t="shared" si="16"/>
        <v>-34864.38</v>
      </c>
      <c r="I306" s="4">
        <f t="shared" si="17"/>
        <v>0</v>
      </c>
      <c r="J306" s="31">
        <f>NT_I!I26</f>
        <v>-43185</v>
      </c>
      <c r="K306" s="31">
        <f>NT_I!J26</f>
        <v>-75253</v>
      </c>
    </row>
    <row r="307" spans="4:11" ht="12.75">
      <c r="D307" s="4" t="s">
        <v>1523</v>
      </c>
      <c r="E307" s="4">
        <v>4</v>
      </c>
      <c r="F307" s="4">
        <f>NT_I!G27</f>
        <v>19</v>
      </c>
      <c r="G307" s="4" t="str">
        <f>IF(NT_I!H27&lt;&gt;"",NT_I!H27,"")</f>
        <v>14</v>
      </c>
      <c r="H307" s="30">
        <f t="shared" si="16"/>
        <v>-234595.84999999998</v>
      </c>
      <c r="I307" s="4">
        <f t="shared" si="17"/>
        <v>0</v>
      </c>
      <c r="J307" s="31">
        <f>NT_I!I27</f>
        <v>-666011</v>
      </c>
      <c r="K307" s="31">
        <f>NT_I!J27</f>
        <v>-284352</v>
      </c>
    </row>
    <row r="308" spans="4:11" ht="12.75">
      <c r="D308" s="4" t="s">
        <v>1523</v>
      </c>
      <c r="E308" s="4">
        <v>4</v>
      </c>
      <c r="F308" s="4">
        <f>NT_I!G28</f>
        <v>20</v>
      </c>
      <c r="G308" s="4">
        <f>IF(NT_I!H28&lt;&gt;"",NT_I!H28,"")</f>
      </c>
      <c r="H308" s="30">
        <f t="shared" si="16"/>
        <v>4970358.4</v>
      </c>
      <c r="I308" s="4">
        <f t="shared" si="17"/>
        <v>0</v>
      </c>
      <c r="J308" s="31">
        <f>NT_I!I28</f>
        <v>7183512</v>
      </c>
      <c r="K308" s="31">
        <f>NT_I!J28</f>
        <v>8834140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t="str">
        <f>IF(NT_I!H35&lt;&gt;"",NT_I!H35,"")</f>
        <v>26</v>
      </c>
      <c r="H314" s="30">
        <f t="shared" si="16"/>
        <v>7171878.4799999995</v>
      </c>
      <c r="I314" s="4">
        <f t="shared" si="17"/>
        <v>0</v>
      </c>
      <c r="J314" s="31">
        <f>NT_I!I35</f>
        <v>7132118</v>
      </c>
      <c r="K314" s="31">
        <f>NT_I!J35</f>
        <v>10226015</v>
      </c>
    </row>
    <row r="315" spans="4:11" ht="12.75">
      <c r="D315" s="4" t="s">
        <v>1523</v>
      </c>
      <c r="E315" s="4">
        <v>4</v>
      </c>
      <c r="F315" s="4">
        <f>NT_I!G36</f>
        <v>27</v>
      </c>
      <c r="G315" s="4">
        <f>IF(NT_I!H36&lt;&gt;"",NT_I!H36,"")</f>
      </c>
      <c r="H315" s="30">
        <f t="shared" si="16"/>
        <v>7447719.959999999</v>
      </c>
      <c r="I315" s="4">
        <f t="shared" si="17"/>
        <v>0</v>
      </c>
      <c r="J315" s="31">
        <f>NT_I!I36</f>
        <v>7132118</v>
      </c>
      <c r="K315" s="31">
        <f>NT_I!J36</f>
        <v>10226015</v>
      </c>
    </row>
    <row r="316" spans="4:11" ht="12.75">
      <c r="D316" s="4" t="s">
        <v>1523</v>
      </c>
      <c r="E316" s="4">
        <v>4</v>
      </c>
      <c r="F316" s="4">
        <f>NT_I!G37</f>
        <v>28</v>
      </c>
      <c r="G316" s="4" t="str">
        <f>IF(NT_I!H37&lt;&gt;"",NT_I!H37,"")</f>
        <v>15</v>
      </c>
      <c r="H316" s="30">
        <f t="shared" si="16"/>
        <v>-17459176.560000002</v>
      </c>
      <c r="I316" s="4">
        <f t="shared" si="17"/>
        <v>0</v>
      </c>
      <c r="J316" s="31">
        <f>NT_I!I37</f>
        <v>-12516518</v>
      </c>
      <c r="K316" s="31">
        <f>NT_I!J37</f>
        <v>-24918842</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-20576886.66</v>
      </c>
      <c r="I321" s="4">
        <f t="shared" si="17"/>
        <v>0</v>
      </c>
      <c r="J321" s="31">
        <f>NT_I!I42</f>
        <v>-12516518</v>
      </c>
      <c r="K321" s="31">
        <f>NT_I!J42</f>
        <v>-24918842</v>
      </c>
    </row>
    <row r="322" spans="4:11" ht="12.75">
      <c r="D322" s="4" t="s">
        <v>1523</v>
      </c>
      <c r="E322" s="4">
        <v>4</v>
      </c>
      <c r="F322" s="4">
        <f>NT_I!G43</f>
        <v>34</v>
      </c>
      <c r="G322" s="4">
        <f>IF(NT_I!H43&lt;&gt;"",NT_I!H43,"")</f>
      </c>
      <c r="H322" s="30">
        <f t="shared" si="16"/>
        <v>-11821818.36</v>
      </c>
      <c r="I322" s="4">
        <f t="shared" si="17"/>
        <v>0</v>
      </c>
      <c r="J322" s="31">
        <f>NT_I!I43</f>
        <v>-5384400</v>
      </c>
      <c r="K322" s="31">
        <f>NT_I!J43</f>
        <v>-14692827</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t="str">
        <f>IF(NT_I!H48&lt;&gt;"",NT_I!H48,"")</f>
        <v>24</v>
      </c>
      <c r="H326" s="30">
        <f t="shared" si="16"/>
        <v>768231.56</v>
      </c>
      <c r="I326" s="4">
        <f t="shared" si="17"/>
        <v>0</v>
      </c>
      <c r="J326" s="31">
        <f>NT_I!I48</f>
        <v>1411662</v>
      </c>
      <c r="K326" s="31">
        <f>NT_I!J48</f>
        <v>305000</v>
      </c>
    </row>
    <row r="327" spans="4:11" ht="12.75">
      <c r="D327" s="4" t="s">
        <v>1523</v>
      </c>
      <c r="E327" s="4">
        <v>4</v>
      </c>
      <c r="F327" s="4">
        <f>NT_I!G49</f>
        <v>39</v>
      </c>
      <c r="G327" s="4">
        <f>IF(NT_I!H49&lt;&gt;"",NT_I!H49,"")</f>
      </c>
      <c r="H327" s="30">
        <f t="shared" si="16"/>
        <v>788448.18</v>
      </c>
      <c r="I327" s="4">
        <f t="shared" si="17"/>
        <v>0</v>
      </c>
      <c r="J327" s="31">
        <f>NT_I!I49</f>
        <v>1411662</v>
      </c>
      <c r="K327" s="31">
        <f>NT_I!J49</f>
        <v>305000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t="str">
        <f>IF(NT_I!H52&lt;&gt;"",NT_I!H52,"")</f>
        <v>24</v>
      </c>
      <c r="H330" s="30">
        <f t="shared" si="16"/>
        <v>-983254.8600000001</v>
      </c>
      <c r="I330" s="4">
        <f t="shared" si="17"/>
        <v>0</v>
      </c>
      <c r="J330" s="31">
        <f>NT_I!I52</f>
        <v>-785829</v>
      </c>
      <c r="K330" s="31">
        <f>NT_I!J52</f>
        <v>-777627</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-1053487.35</v>
      </c>
      <c r="I333" s="4">
        <f t="shared" si="19"/>
        <v>0</v>
      </c>
      <c r="J333" s="31">
        <f>NT_I!I55</f>
        <v>-785829</v>
      </c>
      <c r="K333" s="31">
        <f>NT_I!J55</f>
        <v>-777627</v>
      </c>
    </row>
    <row r="334" spans="4:11" ht="12.75">
      <c r="D334" s="4" t="s">
        <v>1523</v>
      </c>
      <c r="E334" s="4">
        <v>4</v>
      </c>
      <c r="F334" s="4">
        <f>NT_I!G56</f>
        <v>46</v>
      </c>
      <c r="G334" s="4">
        <f>IF(NT_I!H56&lt;&gt;"",NT_I!H56,"")</f>
      </c>
      <c r="H334" s="30">
        <f t="shared" si="18"/>
        <v>-146933.66000000003</v>
      </c>
      <c r="I334" s="4">
        <f t="shared" si="19"/>
        <v>0</v>
      </c>
      <c r="J334" s="31">
        <f>NT_I!I56</f>
        <v>625833</v>
      </c>
      <c r="K334" s="31">
        <f>NT_I!J56</f>
        <v>-472627</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t="str">
        <f>IF(NT_I!H58&lt;&gt;"",NT_I!H58,"")</f>
        <v>21</v>
      </c>
      <c r="H336" s="30">
        <f t="shared" si="18"/>
        <v>-4914087.84</v>
      </c>
      <c r="I336" s="4">
        <f t="shared" si="19"/>
        <v>0</v>
      </c>
      <c r="J336" s="31">
        <f>NT_I!I58</f>
        <v>2424945</v>
      </c>
      <c r="K336" s="31">
        <f>NT_I!J58</f>
        <v>-6331314</v>
      </c>
    </row>
    <row r="337" spans="4:11" ht="12.75">
      <c r="D337" s="4" t="s">
        <v>1523</v>
      </c>
      <c r="E337" s="4">
        <v>4</v>
      </c>
      <c r="F337" s="4">
        <f>NT_I!G59</f>
        <v>49</v>
      </c>
      <c r="G337" s="4" t="str">
        <f>IF(NT_I!H59&lt;&gt;"",NT_I!H59,"")</f>
        <v>21</v>
      </c>
      <c r="H337" s="30">
        <f t="shared" si="18"/>
        <v>22857271.08</v>
      </c>
      <c r="I337" s="4">
        <f t="shared" si="19"/>
        <v>0</v>
      </c>
      <c r="J337" s="31">
        <f>NT_I!I59</f>
        <v>13932534</v>
      </c>
      <c r="K337" s="31">
        <f>NT_I!J59</f>
        <v>16357479</v>
      </c>
    </row>
    <row r="338" spans="4:11" ht="12.75">
      <c r="D338" s="4" t="s">
        <v>1523</v>
      </c>
      <c r="E338" s="4">
        <v>4</v>
      </c>
      <c r="F338" s="4">
        <f>NT_I!G60</f>
        <v>50</v>
      </c>
      <c r="G338" s="4">
        <f>IF(NT_I!H60&lt;&gt;"",NT_I!H60,"")</f>
      </c>
      <c r="H338" s="30">
        <f t="shared" si="18"/>
        <v>18204904.5</v>
      </c>
      <c r="I338" s="4">
        <f t="shared" si="19"/>
        <v>0</v>
      </c>
      <c r="J338" s="31">
        <f>NT_I!I60</f>
        <v>16357479</v>
      </c>
      <c r="K338" s="31">
        <f>NT_I!J60</f>
        <v>10026165</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49597499.83</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159483800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273874</v>
      </c>
      <c r="V381" s="31">
        <f>PK!U10</f>
        <v>98825</v>
      </c>
      <c r="W381" s="31">
        <f>PK!V10</f>
        <v>159856499</v>
      </c>
      <c r="X381" s="31">
        <f>PK!W10</f>
        <v>0</v>
      </c>
      <c r="Y381" s="31">
        <f>PK!X10</f>
        <v>159856499</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54382013.83</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159483800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273874</v>
      </c>
      <c r="V384" s="31">
        <f>PK!U13</f>
        <v>98825</v>
      </c>
      <c r="W384" s="31">
        <f>PK!V13</f>
        <v>159856499</v>
      </c>
      <c r="X384" s="31">
        <f>PK!W13</f>
        <v>0</v>
      </c>
      <c r="Y384" s="31">
        <f>PK!X13</f>
        <v>159856499</v>
      </c>
    </row>
    <row r="385" spans="4:25" ht="12.75">
      <c r="D385" s="4" t="s">
        <v>542</v>
      </c>
      <c r="E385" s="4">
        <v>6</v>
      </c>
      <c r="F385" s="4">
        <f>PK!G14</f>
        <v>5</v>
      </c>
      <c r="G385" s="4">
        <f>IF(PK!H14&lt;&gt;"",PK!H14,"")</f>
      </c>
      <c r="H385" s="30">
        <f t="shared" si="22"/>
        <v>6558.790000000001</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15253</v>
      </c>
      <c r="W385" s="31">
        <f>PK!V14</f>
        <v>15253</v>
      </c>
      <c r="X385" s="31">
        <f>PK!W14</f>
        <v>0</v>
      </c>
      <c r="Y385" s="31">
        <f>PK!X14</f>
        <v>15253</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-988.25</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98825</v>
      </c>
      <c r="V401" s="31">
        <f>PK!U30</f>
        <v>-98825</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84689506.37</v>
      </c>
      <c r="I403" s="31">
        <f t="shared" si="23"/>
        <v>0</v>
      </c>
      <c r="J403" s="31">
        <f>PK!I32</f>
        <v>159483800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372699</v>
      </c>
      <c r="V403" s="31">
        <f>PK!U32</f>
        <v>15253</v>
      </c>
      <c r="W403" s="31">
        <f>PK!V32</f>
        <v>159871752</v>
      </c>
      <c r="X403" s="31">
        <f>PK!W32</f>
        <v>0</v>
      </c>
      <c r="Y403" s="31">
        <f>PK!X32</f>
        <v>159871752</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6558.790000000001</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15253</v>
      </c>
      <c r="W405" s="31">
        <f>PK!V35</f>
        <v>15253</v>
      </c>
      <c r="X405" s="31">
        <f>PK!W35</f>
        <v>0</v>
      </c>
      <c r="Y405" s="31">
        <f>PK!X35</f>
        <v>15253</v>
      </c>
    </row>
    <row r="406" spans="4:25" ht="12.75">
      <c r="D406" s="4" t="s">
        <v>542</v>
      </c>
      <c r="E406" s="4">
        <v>6</v>
      </c>
      <c r="F406" s="4">
        <f>PK!G36</f>
        <v>26</v>
      </c>
      <c r="G406" s="4">
        <f>IF(PK!H36&lt;&gt;"",PK!H36,"")</f>
      </c>
      <c r="H406" s="30">
        <f t="shared" si="22"/>
        <v>-988.25</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98825</v>
      </c>
      <c r="V406" s="31">
        <f>PK!U36</f>
        <v>-98825</v>
      </c>
      <c r="W406" s="31">
        <f>PK!V36</f>
        <v>0</v>
      </c>
      <c r="X406" s="31">
        <f>PK!W36</f>
        <v>0</v>
      </c>
      <c r="Y406" s="31">
        <f>PK!X36</f>
        <v>0</v>
      </c>
    </row>
    <row r="407" spans="4:25" ht="12.75">
      <c r="D407" s="4" t="s">
        <v>542</v>
      </c>
      <c r="E407" s="4">
        <v>6</v>
      </c>
      <c r="F407" s="4">
        <f>PK!G38</f>
        <v>27</v>
      </c>
      <c r="G407" s="4">
        <f>IF(PK!H38&lt;&gt;"",PK!H38,"")</f>
      </c>
      <c r="H407" s="30">
        <f t="shared" si="22"/>
        <v>91068858.37</v>
      </c>
      <c r="I407" s="31">
        <f t="shared" si="23"/>
        <v>0</v>
      </c>
      <c r="J407" s="31">
        <f>PK!I38</f>
        <v>159483800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372699</v>
      </c>
      <c r="V407" s="31">
        <f>PK!U38</f>
        <v>15253</v>
      </c>
      <c r="W407" s="31">
        <f>PK!V38</f>
        <v>159871752</v>
      </c>
      <c r="X407" s="31">
        <f>PK!W38</f>
        <v>0</v>
      </c>
      <c r="Y407" s="31">
        <f>PK!X38</f>
        <v>159871752</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16592.94</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39507</v>
      </c>
      <c r="V409" s="31">
        <f>PK!U40</f>
        <v>0</v>
      </c>
      <c r="W409" s="31">
        <f>PK!V40</f>
        <v>39507</v>
      </c>
      <c r="X409" s="31">
        <f>PK!W40</f>
        <v>0</v>
      </c>
      <c r="Y409" s="31">
        <f>PK!X40</f>
        <v>39507</v>
      </c>
    </row>
    <row r="410" spans="4:25" ht="12.75">
      <c r="D410" s="4" t="s">
        <v>542</v>
      </c>
      <c r="E410" s="4">
        <v>6</v>
      </c>
      <c r="F410" s="4">
        <f>PK!G41</f>
        <v>30</v>
      </c>
      <c r="G410" s="4">
        <f>IF(PK!H41&lt;&gt;"",PK!H41,"")</f>
      </c>
      <c r="H410" s="30">
        <f t="shared" si="22"/>
        <v>95869965.31</v>
      </c>
      <c r="I410" s="31">
        <f t="shared" si="23"/>
        <v>0</v>
      </c>
      <c r="J410" s="31">
        <f>PK!I41</f>
        <v>159483800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412206</v>
      </c>
      <c r="V410" s="31">
        <f>PK!U41</f>
        <v>15253</v>
      </c>
      <c r="W410" s="31">
        <f>PK!V41</f>
        <v>159911259</v>
      </c>
      <c r="X410" s="31">
        <f>PK!W41</f>
        <v>0</v>
      </c>
      <c r="Y410" s="31">
        <f>PK!X41</f>
        <v>159911259</v>
      </c>
    </row>
    <row r="411" spans="4:25" ht="12.75">
      <c r="D411" s="4" t="s">
        <v>542</v>
      </c>
      <c r="E411" s="4">
        <v>6</v>
      </c>
      <c r="F411" s="4">
        <f>PK!G42</f>
        <v>31</v>
      </c>
      <c r="G411" s="4">
        <f>IF(PK!H42&lt;&gt;"",PK!H42,"")</f>
      </c>
      <c r="H411" s="30">
        <f t="shared" si="22"/>
        <v>22602.949999999997</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52565</v>
      </c>
      <c r="W411" s="31">
        <f>PK!V42</f>
        <v>52565</v>
      </c>
      <c r="X411" s="31">
        <f>PK!W42</f>
        <v>0</v>
      </c>
      <c r="Y411" s="31">
        <f>PK!X42</f>
        <v>52565</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-152.5300000000002</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15253</v>
      </c>
      <c r="V427" s="31">
        <f>PK!U58</f>
        <v>-15253</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126194337.73</v>
      </c>
      <c r="I429" s="31">
        <f t="shared" si="23"/>
        <v>0</v>
      </c>
      <c r="J429" s="31">
        <f>PK!I60</f>
        <v>159483800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427459</v>
      </c>
      <c r="V429" s="31">
        <f>PK!U60</f>
        <v>52565</v>
      </c>
      <c r="W429" s="31">
        <f>PK!V60</f>
        <v>159963824</v>
      </c>
      <c r="X429" s="31">
        <f>PK!W60</f>
        <v>0</v>
      </c>
      <c r="Y429" s="31">
        <f>PK!X60</f>
        <v>159963824</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22602.949999999997</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52565</v>
      </c>
      <c r="W431" s="31">
        <f>PK!V63</f>
        <v>52565</v>
      </c>
      <c r="X431" s="31">
        <f>PK!W63</f>
        <v>0</v>
      </c>
      <c r="Y431" s="31">
        <f>PK!X63</f>
        <v>52565</v>
      </c>
    </row>
    <row r="432" spans="4:25" ht="12.75">
      <c r="D432" s="4" t="s">
        <v>542</v>
      </c>
      <c r="E432" s="4">
        <v>6</v>
      </c>
      <c r="F432" s="4">
        <f>PK!G64</f>
        <v>52</v>
      </c>
      <c r="G432" s="4">
        <f>IF(PK!H64&lt;&gt;"",PK!H64,"")</f>
      </c>
      <c r="H432" s="30">
        <f t="shared" si="22"/>
        <v>-152.5300000000002</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15253</v>
      </c>
      <c r="V432" s="31">
        <f>PK!U64</f>
        <v>-15253</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C90" sqref="C90:J90"/>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2366</v>
      </c>
      <c r="H2" s="67" t="s">
        <v>2367</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2353</v>
      </c>
      <c r="W2" s="231" t="str">
        <f>RefStr!C29</f>
        <v>VODOVOD D.O.O.</v>
      </c>
      <c r="X2" s="209" t="s">
        <v>207</v>
      </c>
      <c r="Y2" s="231">
        <f>IF(RefStr!C54&lt;&gt;"",RefStr!C54,"")</f>
        <v>100</v>
      </c>
      <c r="Z2" s="209" t="s">
        <v>2325</v>
      </c>
      <c r="AA2" s="231">
        <f>IF(RefStr!B64="","",RefStr!B64)</f>
      </c>
    </row>
    <row r="3" spans="1:27" ht="13.5" customHeight="1">
      <c r="A3" s="497" t="s">
        <v>2471</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4</v>
      </c>
      <c r="T3" s="211" t="s">
        <v>777</v>
      </c>
      <c r="U3" s="232" t="str">
        <f>RefStr!L21</f>
        <v>98910718267</v>
      </c>
      <c r="V3" s="211" t="s">
        <v>2354</v>
      </c>
      <c r="W3" s="232">
        <f>RefStr!C31</f>
        <v>23000</v>
      </c>
      <c r="X3" s="211" t="s">
        <v>208</v>
      </c>
      <c r="Y3" s="232">
        <f>IF(RefStr!F54&lt;&gt;"",RefStr!F54,"")</f>
        <v>0</v>
      </c>
      <c r="Z3" s="211" t="s">
        <v>2326</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2717</v>
      </c>
      <c r="U4" s="232" t="str">
        <f>RefStr!C27</f>
        <v>89406825003</v>
      </c>
      <c r="V4" s="211" t="s">
        <v>2355</v>
      </c>
      <c r="W4" s="232" t="str">
        <f>RefStr!F31</f>
        <v>ZADAR</v>
      </c>
      <c r="X4" s="234" t="s">
        <v>222</v>
      </c>
      <c r="Y4" s="235" t="str">
        <f>RefStr!I68</f>
        <v>DA</v>
      </c>
      <c r="Z4" s="211" t="s">
        <v>2569</v>
      </c>
      <c r="AA4" s="232" t="str">
        <f>RefStr!N19</f>
        <v>MSFI</v>
      </c>
    </row>
    <row r="5" spans="1:27" ht="13.5" customHeight="1">
      <c r="A5" s="499"/>
      <c r="B5" s="500"/>
      <c r="C5" s="500"/>
      <c r="D5" s="500"/>
      <c r="E5" s="500"/>
      <c r="F5" s="500"/>
      <c r="G5" s="500"/>
      <c r="H5" s="500"/>
      <c r="I5" s="507"/>
      <c r="J5" s="508"/>
      <c r="L5" s="3"/>
      <c r="M5" s="3"/>
      <c r="N5" s="208" t="s">
        <v>1523</v>
      </c>
      <c r="O5" s="211">
        <f>NT_I!Q1</f>
        <v>1</v>
      </c>
      <c r="P5" s="212">
        <f>NT_I!Q2</f>
        <v>1</v>
      </c>
      <c r="Q5" s="232">
        <f>NT_I!Q3</f>
        <v>1</v>
      </c>
      <c r="R5" s="211" t="s">
        <v>1197</v>
      </c>
      <c r="S5" s="232">
        <f>IF(RefStr!C19&lt;&gt;"",IF(ISERROR(INT(RefStr!C19)),0,RefStr!C19),0)</f>
        <v>2</v>
      </c>
      <c r="T5" s="211" t="s">
        <v>2351</v>
      </c>
      <c r="U5" s="232" t="str">
        <f>RefStr!H27</f>
        <v>03410153</v>
      </c>
      <c r="V5" s="211" t="s">
        <v>2356</v>
      </c>
      <c r="W5" s="232" t="str">
        <f>RefStr!C33</f>
        <v>ŠPIRE BRUSINE 17</v>
      </c>
      <c r="X5" s="234" t="s">
        <v>2516</v>
      </c>
      <c r="Y5" s="235" t="str">
        <f>RefStr!I62</f>
        <v>DA</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2352</v>
      </c>
      <c r="U6" s="232" t="str">
        <f>RefStr!M27</f>
        <v>060083654</v>
      </c>
      <c r="V6" s="211" t="s">
        <v>2567</v>
      </c>
      <c r="W6" s="232" t="str">
        <f>RefStr!L35</f>
        <v>023/282902</v>
      </c>
      <c r="X6" s="211" t="s">
        <v>2513</v>
      </c>
      <c r="Y6" s="232" t="str">
        <f>RefStr!C68</f>
        <v>klaudia stulić, iva brkić</v>
      </c>
      <c r="Z6" s="211" t="s">
        <v>1415</v>
      </c>
      <c r="AA6" s="232">
        <f>RefStr!C46</f>
        <v>0</v>
      </c>
    </row>
    <row r="7" spans="1:27" ht="13.5" customHeight="1">
      <c r="A7" s="499"/>
      <c r="B7" s="500"/>
      <c r="C7" s="500"/>
      <c r="D7" s="500"/>
      <c r="E7" s="500"/>
      <c r="F7" s="500"/>
      <c r="G7" s="500"/>
      <c r="H7" s="500"/>
      <c r="I7" s="222" t="s">
        <v>16</v>
      </c>
      <c r="J7" s="224">
        <f>SUM(M12:M120)</f>
        <v>0</v>
      </c>
      <c r="N7" s="208" t="s">
        <v>542</v>
      </c>
      <c r="O7" s="211">
        <f>PK!AA1</f>
        <v>1</v>
      </c>
      <c r="P7" s="212">
        <f>PK!AA2</f>
        <v>1</v>
      </c>
      <c r="Q7" s="232">
        <f>PK!AA3</f>
        <v>1</v>
      </c>
      <c r="R7" s="211" t="s">
        <v>2568</v>
      </c>
      <c r="S7" s="232">
        <f>IF(RefStr!C44&lt;&gt;"",IF(ISERROR(INT(RefStr!C44)),0,RefStr!C44),0)</f>
        <v>1</v>
      </c>
      <c r="T7" s="211" t="s">
        <v>1862</v>
      </c>
      <c r="U7" s="232">
        <f>RefStr!C7</f>
        <v>5</v>
      </c>
      <c r="V7" s="211" t="s">
        <v>1193</v>
      </c>
      <c r="W7" s="232" t="str">
        <f>TRIM(UPPER(RefStr!C35))</f>
        <v>VODOVOD1@VODOVOD-ZADAR.HR</v>
      </c>
      <c r="X7" s="211" t="s">
        <v>2514</v>
      </c>
      <c r="Y7" s="232" t="str">
        <f>RefStr!C70</f>
        <v>023 282 926</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2573</v>
      </c>
      <c r="W8" s="232" t="str">
        <f>RefStr!C42</f>
        <v>3600</v>
      </c>
      <c r="X8" s="211" t="s">
        <v>2515</v>
      </c>
      <c r="Y8" s="232" t="str">
        <f>TRIM(UPPER(RefStr!C72))</f>
        <v>KLAUDIA.STULIC@VODOVOD-ZADAR.HR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232</v>
      </c>
      <c r="Q9" s="231">
        <f>RefStr!F58</f>
        <v>234</v>
      </c>
      <c r="R9" s="211" t="s">
        <v>1860</v>
      </c>
      <c r="S9" s="232">
        <f>IF(RefStr!F4&lt;&gt;"",RefStr!F4,0)</f>
        <v>43830</v>
      </c>
      <c r="T9" s="211" t="s">
        <v>1821</v>
      </c>
      <c r="U9" s="232">
        <f>RefStr!C39</f>
        <v>520</v>
      </c>
      <c r="V9" s="211" t="s">
        <v>1414</v>
      </c>
      <c r="W9" s="232" t="str">
        <f>RefStr!D42</f>
        <v>Skupljanje, pročišćavanje i opskrba vo...</v>
      </c>
      <c r="X9" s="238" t="s">
        <v>221</v>
      </c>
      <c r="Y9" s="239" t="str">
        <f>RefStr!I66</f>
        <v>DA</v>
      </c>
      <c r="Z9" s="236" t="s">
        <v>219</v>
      </c>
      <c r="AA9" s="237" t="str">
        <f>RefStr!I64</f>
        <v>DA</v>
      </c>
    </row>
    <row r="10" spans="1:27" ht="13.5" customHeight="1">
      <c r="A10" s="510"/>
      <c r="B10" s="510"/>
      <c r="C10" s="510"/>
      <c r="D10" s="510"/>
      <c r="E10" s="510"/>
      <c r="F10" s="510"/>
      <c r="G10" s="510"/>
      <c r="H10" s="510"/>
      <c r="I10" s="510"/>
      <c r="J10" s="510"/>
      <c r="L10" s="195"/>
      <c r="M10" s="195"/>
      <c r="O10" s="230" t="s">
        <v>2123</v>
      </c>
      <c r="P10" s="213">
        <f>RefStr!C56</f>
        <v>290</v>
      </c>
      <c r="Q10" s="233">
        <f>RefStr!F56</f>
        <v>295</v>
      </c>
      <c r="R10" s="213" t="s">
        <v>1863</v>
      </c>
      <c r="S10" s="233">
        <f>RefStr!C23</f>
        <v>1</v>
      </c>
      <c r="T10" s="213" t="s">
        <v>2572</v>
      </c>
      <c r="U10" s="233" t="str">
        <f>RefStr!D39</f>
        <v>Zadar</v>
      </c>
      <c r="V10" s="240"/>
      <c r="W10" s="241"/>
      <c r="X10" s="242" t="s">
        <v>1974</v>
      </c>
      <c r="Y10" s="243">
        <f>RefStr!F12</f>
        <v>2019</v>
      </c>
      <c r="Z10" s="213" t="s">
        <v>209</v>
      </c>
      <c r="AA10" s="233" t="str">
        <f>RefStr!A75</f>
        <v>TOMISLAV MATEK, dipl. ing. građ.</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2570</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2531</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2530</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2563</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2564</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2565</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2566</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2571</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2532</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2511</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2327</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2328</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4, a upisana veličina je 4.</v>
      </c>
      <c r="D50" s="487"/>
      <c r="E50" s="487"/>
      <c r="F50" s="487"/>
      <c r="G50" s="487"/>
      <c r="H50" s="487"/>
      <c r="I50" s="487"/>
      <c r="J50" s="487"/>
      <c r="L50" s="195">
        <f>IF(N50&lt;&gt;S3,1,0)</f>
        <v>0</v>
      </c>
      <c r="M50" s="195"/>
      <c r="N50" s="195">
        <f>IF(P8&gt;0,O50,AC50)</f>
        <v>4</v>
      </c>
      <c r="O50" s="199">
        <f>IF(SUM(Y50:AA50)&gt;1,4,IF(SUM(U50:W50)&gt;1,3,IF(SUM(Q50:S50)&gt;1,2,IF(S6="DA",2,1))))</f>
        <v>4</v>
      </c>
      <c r="P50" s="202" t="s">
        <v>2665</v>
      </c>
      <c r="Q50" s="202">
        <f>IF(Bilanca!I73&gt;2600000,1,0)</f>
        <v>1</v>
      </c>
      <c r="R50" s="201">
        <f>IF(RDG!I60&gt;5200000,1,0)</f>
        <v>1</v>
      </c>
      <c r="S50" s="201">
        <f>IF(P10&gt;10,1,0)</f>
        <v>1</v>
      </c>
      <c r="T50" s="201" t="s">
        <v>1948</v>
      </c>
      <c r="U50" s="201">
        <f>IF(Bilanca!I73&gt;30000000,1,0)</f>
        <v>1</v>
      </c>
      <c r="V50" s="201">
        <f>IF(RDG!I60&gt;60000000,1,0)</f>
        <v>1</v>
      </c>
      <c r="W50" s="201">
        <f>IF(P10&gt;50,1,0)</f>
        <v>1</v>
      </c>
      <c r="X50" s="201" t="s">
        <v>1949</v>
      </c>
      <c r="Y50" s="201">
        <f>IF(Bilanca!I73&gt;150000000,1,0)</f>
        <v>1</v>
      </c>
      <c r="Z50" s="201">
        <f>IF(RDG!I60&gt;300000000,1,0)</f>
        <v>0</v>
      </c>
      <c r="AA50" s="201">
        <f>IF(P10&gt;250,1,0)</f>
        <v>1</v>
      </c>
      <c r="AC50" s="199">
        <f>IF(SUM(AM50:AO50)&gt;1,4,IF(SUM(AI50:AK50)&gt;1,3,IF(SUM(AE50:AG50)&gt;1,2,IF(S6="DA",2,1))))</f>
        <v>4</v>
      </c>
      <c r="AD50" s="202" t="s">
        <v>2665</v>
      </c>
      <c r="AE50" s="202">
        <f>IF(Bilanca!J73&gt;2600000,1,0)</f>
        <v>1</v>
      </c>
      <c r="AF50" s="201">
        <f>IF(S9&gt;S8,IF(RDG!J60*365/(S9-S8)&gt;5200000,1,0),0)</f>
        <v>1</v>
      </c>
      <c r="AG50" s="201">
        <f>IF(Q10&gt;10,1,0)</f>
        <v>1</v>
      </c>
      <c r="AH50" s="201" t="s">
        <v>1948</v>
      </c>
      <c r="AI50" s="201">
        <f>IF(Bilanca!J73&gt;30000000,1,0)</f>
        <v>1</v>
      </c>
      <c r="AJ50" s="201">
        <f>IF(S9&gt;S8,IF(RDG!J60*365/(S9-S8)&gt;60000000,1,0),0)</f>
        <v>1</v>
      </c>
      <c r="AK50" s="201">
        <f>IF(Q10&gt;50,1,0)</f>
        <v>1</v>
      </c>
      <c r="AL50" s="201" t="s">
        <v>1949</v>
      </c>
      <c r="AM50" s="201">
        <f>IF(Bilanca!J73&gt;150000000,1,0)</f>
        <v>1</v>
      </c>
      <c r="AN50" s="201">
        <f>IF(S9&gt;S8,IF(RDG!J60*365/(S9-S8)&gt;300000000,1,0),0)</f>
        <v>0</v>
      </c>
      <c r="AO50" s="201">
        <f>IF(Q10&gt;250,1,0)</f>
        <v>1</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1</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2895</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2896</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2538</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2894</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2533</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2534</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2535</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2536</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2537</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2905</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2906</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2242</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C:\Users\kstulic\Desktop\USKLAĐENJA KRAJ GODINE ANALIZE ZA REVIZIJU\2019\31.12.2019\OTPISI POTRAŽIVANJA\[Ukupno storno po dokumentima 31_12_19 Višnja.xls]Sheet1</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5"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2366</v>
      </c>
      <c r="H1" s="67" t="s">
        <v>2367</v>
      </c>
      <c r="I1" s="67" t="s">
        <v>542</v>
      </c>
      <c r="J1" s="68" t="s">
        <v>498</v>
      </c>
    </row>
    <row r="2" spans="1:10" ht="102.75" customHeight="1">
      <c r="A2" s="251" t="s">
        <v>2139</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2903</v>
      </c>
      <c r="B7" s="248" t="s">
        <v>2904</v>
      </c>
      <c r="C7" s="249"/>
      <c r="D7" s="249"/>
      <c r="E7" s="249"/>
      <c r="F7" s="249"/>
      <c r="G7" s="249"/>
      <c r="H7" s="249"/>
      <c r="I7" s="249"/>
      <c r="J7" s="250"/>
    </row>
    <row r="8" spans="1:10" ht="36.75" customHeight="1">
      <c r="A8" s="66" t="s">
        <v>2241</v>
      </c>
      <c r="B8" s="245" t="s">
        <v>223</v>
      </c>
      <c r="C8" s="246"/>
      <c r="D8" s="246"/>
      <c r="E8" s="246"/>
      <c r="F8" s="246"/>
      <c r="G8" s="246"/>
      <c r="H8" s="246"/>
      <c r="I8" s="246"/>
      <c r="J8" s="247"/>
    </row>
    <row r="9" spans="1:10" ht="69.75" customHeight="1">
      <c r="A9" s="66" t="s">
        <v>824</v>
      </c>
      <c r="B9" s="245" t="s">
        <v>2333</v>
      </c>
      <c r="C9" s="246"/>
      <c r="D9" s="246"/>
      <c r="E9" s="246"/>
      <c r="F9" s="246"/>
      <c r="G9" s="246"/>
      <c r="H9" s="246"/>
      <c r="I9" s="246"/>
      <c r="J9" s="247"/>
    </row>
    <row r="10" spans="1:10" ht="76.5" customHeight="1">
      <c r="A10" s="66" t="s">
        <v>2501</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9" activePane="bottomLeft" state="frozen"/>
      <selection pane="topLeft" activeCell="A1" sqref="A1"/>
      <selection pane="bottomLeft" activeCell="J66" sqref="J66:N67"/>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2366</v>
      </c>
      <c r="H1" s="67" t="s">
        <v>2367</v>
      </c>
      <c r="I1" s="67" t="s">
        <v>542</v>
      </c>
      <c r="J1" s="68" t="s">
        <v>498</v>
      </c>
      <c r="K1" s="144"/>
      <c r="L1" s="144"/>
      <c r="M1" s="144"/>
      <c r="N1" s="144"/>
      <c r="O1" s="3"/>
      <c r="P1" s="147"/>
      <c r="Q1" s="52">
        <f>IF(C4&lt;&gt;"",YEAR(C4),"")</f>
        <v>2019</v>
      </c>
    </row>
    <row r="2" spans="1:17" s="148" customFormat="1" ht="60" customHeight="1">
      <c r="A2" s="365" t="s">
        <v>1057</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43466</v>
      </c>
      <c r="D4" s="361"/>
      <c r="E4" s="10" t="s">
        <v>1527</v>
      </c>
      <c r="F4" s="360">
        <v>43830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2470</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72" t="s">
        <v>2174</v>
      </c>
      <c r="B10" s="373"/>
      <c r="C10" s="161"/>
      <c r="D10" s="161"/>
      <c r="E10" s="157"/>
      <c r="F10" s="158"/>
      <c r="G10" s="159"/>
      <c r="H10" s="156"/>
      <c r="I10" s="156"/>
      <c r="J10" s="156"/>
      <c r="K10" s="362" t="s">
        <v>1971</v>
      </c>
      <c r="L10" s="363"/>
      <c r="M10" s="363"/>
      <c r="N10" s="364"/>
      <c r="P10" s="54" t="s">
        <v>1815</v>
      </c>
      <c r="Q10" s="55">
        <f>IF(F4&lt;&gt;"",YEAR(F4)/100+MONTH(F4)/2+DAY(F4),0)</f>
        <v>57.19</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2727</v>
      </c>
      <c r="F12" s="348">
        <v>2019</v>
      </c>
      <c r="G12" s="349"/>
      <c r="H12" s="341" t="s">
        <v>2105</v>
      </c>
      <c r="I12" s="342"/>
      <c r="J12" s="342"/>
      <c r="K12" s="156"/>
      <c r="L12" s="156"/>
      <c r="M12" s="156"/>
      <c r="N12" s="156"/>
      <c r="P12" s="54" t="s">
        <v>2352</v>
      </c>
      <c r="Q12" s="55">
        <f>INT(VALUE(H27))/10</f>
        <v>341015.3</v>
      </c>
    </row>
    <row r="13" spans="4:17" ht="9.75" customHeight="1">
      <c r="D13" s="156"/>
      <c r="E13" s="162"/>
      <c r="H13" s="27"/>
      <c r="I13" s="163"/>
      <c r="J13" s="163"/>
      <c r="K13" s="156"/>
      <c r="L13" s="156"/>
      <c r="M13" s="156"/>
      <c r="N13" s="156"/>
      <c r="P13" s="54" t="s">
        <v>2352</v>
      </c>
      <c r="Q13" s="55">
        <f>INT(VALUE(M27))/50</f>
        <v>1201673.08</v>
      </c>
    </row>
    <row r="14" spans="1:17" ht="15">
      <c r="A14" s="340" t="s">
        <v>2713</v>
      </c>
      <c r="B14" s="340"/>
      <c r="C14" s="340"/>
      <c r="D14" s="164"/>
      <c r="E14" s="165"/>
      <c r="F14" s="338"/>
      <c r="G14" s="339"/>
      <c r="H14" s="339"/>
      <c r="I14" s="156"/>
      <c r="J14" s="346" t="s">
        <v>2100</v>
      </c>
      <c r="K14" s="347"/>
      <c r="L14" s="347"/>
      <c r="M14" s="347"/>
      <c r="N14" s="347"/>
      <c r="P14" s="54" t="s">
        <v>2717</v>
      </c>
      <c r="Q14" s="55">
        <f>INT(VALUE(C27))/100</f>
        <v>894068250.03</v>
      </c>
    </row>
    <row r="15" spans="1:17" ht="19.5" customHeight="1">
      <c r="A15" s="343">
        <f>Skriveni!B59</f>
        <v>10938011824.280003</v>
      </c>
      <c r="B15" s="344"/>
      <c r="C15" s="345"/>
      <c r="D15" s="60"/>
      <c r="E15" s="60"/>
      <c r="F15" s="60"/>
      <c r="G15" s="60"/>
      <c r="H15" s="60"/>
      <c r="I15" s="60"/>
      <c r="J15" s="60"/>
      <c r="K15" s="60"/>
      <c r="L15" s="60"/>
      <c r="M15" s="60"/>
      <c r="N15" s="60"/>
      <c r="P15" s="54" t="s">
        <v>1817</v>
      </c>
      <c r="Q15" s="55">
        <f>LEN(Skriveni!B9)</f>
        <v>14</v>
      </c>
    </row>
    <row r="16" spans="4:17" ht="12.75" customHeight="1">
      <c r="D16" s="60"/>
      <c r="E16" s="60"/>
      <c r="F16" s="60"/>
      <c r="G16" s="60"/>
      <c r="H16" s="60"/>
      <c r="I16" s="60"/>
      <c r="P16" s="54" t="s">
        <v>1818</v>
      </c>
      <c r="Q16" s="55">
        <f>INT(VALUE(C31))/100</f>
        <v>230</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5</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2715</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2965</v>
      </c>
      <c r="P19" s="54" t="s">
        <v>1820</v>
      </c>
      <c r="Q19" s="55">
        <f>LEN(Skriveni!B12)</f>
        <v>16</v>
      </c>
    </row>
    <row r="20" spans="1:17" ht="4.5" customHeight="1">
      <c r="A20" s="13"/>
      <c r="B20" s="47"/>
      <c r="C20" s="34"/>
      <c r="I20" s="34"/>
      <c r="M20" s="146"/>
      <c r="N20" s="166"/>
      <c r="Q20" s="55"/>
    </row>
    <row r="21" spans="1:17" ht="15" customHeight="1">
      <c r="A21" s="314" t="s">
        <v>2108</v>
      </c>
      <c r="B21" s="291"/>
      <c r="C21" s="36" t="s">
        <v>2618</v>
      </c>
      <c r="D21" s="193" t="s">
        <v>2111</v>
      </c>
      <c r="E21" s="274" t="s">
        <v>2109</v>
      </c>
      <c r="F21" s="302"/>
      <c r="G21" s="302"/>
      <c r="H21" s="328"/>
      <c r="I21" s="36" t="s">
        <v>2138</v>
      </c>
      <c r="J21" s="283" t="s">
        <v>2110</v>
      </c>
      <c r="K21" s="279"/>
      <c r="L21" s="284" t="s">
        <v>2966</v>
      </c>
      <c r="M21" s="285"/>
      <c r="N21" s="286"/>
      <c r="P21" s="54" t="s">
        <v>1821</v>
      </c>
      <c r="Q21" s="55">
        <f>INT(VALUE(C39))</f>
        <v>520</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2916</v>
      </c>
      <c r="Q23" s="55">
        <f>INT(VALUE(C42))</f>
        <v>3600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2952</v>
      </c>
      <c r="D27" s="378"/>
      <c r="E27" s="286"/>
      <c r="F27" s="290" t="s">
        <v>2405</v>
      </c>
      <c r="G27" s="322"/>
      <c r="H27" s="284" t="s">
        <v>2953</v>
      </c>
      <c r="I27" s="289"/>
      <c r="J27" s="290" t="s">
        <v>2099</v>
      </c>
      <c r="K27" s="291"/>
      <c r="L27" s="292"/>
      <c r="M27" s="284" t="s">
        <v>2954</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2714</v>
      </c>
      <c r="B29" s="275"/>
      <c r="C29" s="323" t="s">
        <v>2955</v>
      </c>
      <c r="D29" s="324"/>
      <c r="E29" s="324"/>
      <c r="F29" s="324"/>
      <c r="G29" s="324"/>
      <c r="H29" s="324"/>
      <c r="I29" s="324"/>
      <c r="J29" s="324"/>
      <c r="K29" s="324"/>
      <c r="L29" s="325"/>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23000</v>
      </c>
      <c r="D31" s="329" t="s">
        <v>693</v>
      </c>
      <c r="E31" s="330"/>
      <c r="F31" s="323" t="s">
        <v>2956</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2957</v>
      </c>
      <c r="D33" s="324"/>
      <c r="E33" s="324"/>
      <c r="F33" s="324"/>
      <c r="G33" s="324"/>
      <c r="H33" s="324"/>
      <c r="I33" s="324"/>
      <c r="J33" s="324"/>
      <c r="K33" s="324"/>
      <c r="L33" s="325"/>
      <c r="M33" s="60"/>
      <c r="N33" s="60"/>
      <c r="P33" s="54" t="s">
        <v>1824</v>
      </c>
      <c r="Q33" s="55">
        <f>INT(VALUE(Skriveni!B21))</f>
        <v>3</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2958</v>
      </c>
      <c r="D35" s="334"/>
      <c r="E35" s="334"/>
      <c r="F35" s="334"/>
      <c r="G35" s="334"/>
      <c r="H35" s="334"/>
      <c r="I35" s="335"/>
      <c r="J35" s="275" t="s">
        <v>188</v>
      </c>
      <c r="K35" s="278"/>
      <c r="L35" s="284" t="s">
        <v>2964</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2959</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520</v>
      </c>
      <c r="D39" s="326" t="str">
        <f>IF(C39="","Šifra grada/općine nije upisana",IF(ISNA(LOOKUP(C39,A177:A732,A177:A732)),"Šifra grada/općine ne postoji",IF(LOOKUP(C39,A177:A732,A177:A732)&lt;&gt;C39,"Šifra grada/općine ne postoji",LOOKUP(C39,A177:A732,B177:B732))))</f>
        <v>Zadar</v>
      </c>
      <c r="E39" s="327"/>
      <c r="F39" s="327"/>
      <c r="G39" s="327"/>
      <c r="H39" s="314" t="s">
        <v>2221</v>
      </c>
      <c r="I39" s="292"/>
      <c r="J39" s="58">
        <f>IF(C39&gt;0,LOOKUP(C39,A177:A732,C177:C732),"")</f>
        <v>13</v>
      </c>
      <c r="K39" s="315" t="str">
        <f>IF(J39="","Treba prvo upisati šifru grada/općine",LOOKUP(J39,A153:A173,B153:B173))</f>
        <v>ZADARSKA</v>
      </c>
      <c r="L39" s="315"/>
      <c r="M39" s="315"/>
      <c r="N39" s="315"/>
      <c r="P39" s="54" t="s">
        <v>1826</v>
      </c>
      <c r="Q39" s="55">
        <f>C56+2*F56+3*C58+4*F58</f>
        <v>2512</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2368</v>
      </c>
      <c r="B42" s="275"/>
      <c r="C42" s="41" t="s">
        <v>2046</v>
      </c>
      <c r="D42" s="317" t="str">
        <f>IF(C42="","Šifra NKD-a nije upisana",IF(ISNA(LOOKUP(C42,A736:A1351,A736:A1351)),"Šifra NKD-a ne postoji",IF(LOOKUP(C42,A736:A1351,A736:A1351)&lt;&gt;C42,"Šifra NKD-a ne postoji",LOOKUP(C42,A736:A1351,B736:B1351))))</f>
        <v>Skupljanje, pročišćavanje i opskrba vo...</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32</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989107182.67</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2716</v>
      </c>
      <c r="B50" s="275"/>
      <c r="C50" s="43">
        <v>4</v>
      </c>
      <c r="D50" s="270" t="str">
        <f>IF(C50="","Oznaka veličine nije upisana",IF(ISNA(LOOKUP(C50,A124:A127,A124:A127)),"Nepostojeća oznaka veličine",IF(LOOKUP(C50,A124:A127,A124:A127)&lt;&gt;C50,"Nepostojeća oznaka veličine",LOOKUP(C50,A124:A127,B124:B127))))</f>
        <v>Veliki poduzetnik</v>
      </c>
      <c r="E50" s="271"/>
      <c r="F50" s="271"/>
      <c r="G50" s="271"/>
      <c r="H50" s="271"/>
      <c r="I50" s="268" t="s">
        <v>2575</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1.2</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2568</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290</v>
      </c>
      <c r="D56" s="272" t="s">
        <v>2897</v>
      </c>
      <c r="E56" s="273"/>
      <c r="F56" s="44">
        <v>295</v>
      </c>
      <c r="G56" s="272" t="s">
        <v>2898</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2225</v>
      </c>
      <c r="B58" s="375"/>
      <c r="C58" s="44">
        <v>232</v>
      </c>
      <c r="D58" s="309" t="s">
        <v>2897</v>
      </c>
      <c r="E58" s="309"/>
      <c r="F58" s="44">
        <v>234</v>
      </c>
      <c r="G58" s="309" t="s">
        <v>2898</v>
      </c>
      <c r="H58" s="309"/>
      <c r="I58" s="5" t="str">
        <f>IF(OR(NT_I!Q1&lt;&gt;0,NT_D!Q1&lt;&gt;0),"DA","NE")</f>
        <v>DA</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2897</v>
      </c>
      <c r="E60" s="309"/>
      <c r="F60" s="44">
        <v>12</v>
      </c>
      <c r="G60" s="309" t="s">
        <v>2898</v>
      </c>
      <c r="H60" s="309"/>
      <c r="I60" s="227" t="str">
        <f>IF(PK!AA1=1,"DA","NE")</f>
        <v>DA</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2222</v>
      </c>
      <c r="B62" s="190"/>
      <c r="C62" s="190"/>
      <c r="D62" s="190"/>
      <c r="I62" s="226" t="s">
        <v>2138</v>
      </c>
      <c r="J62" s="307" t="s">
        <v>2718</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2223</v>
      </c>
      <c r="B64" s="41"/>
      <c r="C64" s="310" t="s">
        <v>2116</v>
      </c>
      <c r="D64" s="302"/>
      <c r="E64" s="302"/>
      <c r="F64" s="302"/>
      <c r="G64" s="156"/>
      <c r="H64" s="156"/>
      <c r="I64" s="226" t="s">
        <v>2138</v>
      </c>
      <c r="J64" s="307" t="s">
        <v>2719</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2224</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2960</v>
      </c>
      <c r="D68" s="296"/>
      <c r="E68" s="296"/>
      <c r="F68" s="296"/>
      <c r="G68" s="297"/>
      <c r="H68" s="191"/>
      <c r="I68" s="226" t="s">
        <v>2138</v>
      </c>
      <c r="J68" s="281" t="s">
        <v>2574</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2961</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2962</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2963</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2498</v>
      </c>
    </row>
    <row r="113" spans="1:2" ht="12.75" hidden="1">
      <c r="A113" s="28">
        <v>3</v>
      </c>
      <c r="B113" s="28" t="s">
        <v>2499</v>
      </c>
    </row>
    <row r="114" spans="1:2" ht="12.75" hidden="1">
      <c r="A114" s="28">
        <v>4</v>
      </c>
      <c r="B114" s="28" t="s">
        <v>2500</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2512</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2576</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2235</v>
      </c>
      <c r="C214" s="28">
        <v>2</v>
      </c>
    </row>
    <row r="215" spans="1:3" ht="12.75" hidden="1">
      <c r="A215" s="28">
        <v>42</v>
      </c>
      <c r="B215" s="28" t="s">
        <v>2238</v>
      </c>
      <c r="C215" s="28">
        <v>18</v>
      </c>
    </row>
    <row r="216" spans="1:3" ht="12.75" hidden="1">
      <c r="A216" s="28">
        <v>43</v>
      </c>
      <c r="B216" s="28" t="s">
        <v>1673</v>
      </c>
      <c r="C216" s="28">
        <v>18</v>
      </c>
    </row>
    <row r="217" spans="1:3" ht="12.75" hidden="1">
      <c r="A217" s="28">
        <v>44</v>
      </c>
      <c r="B217" s="28" t="s">
        <v>2396</v>
      </c>
      <c r="C217" s="28">
        <v>16</v>
      </c>
    </row>
    <row r="218" spans="1:3" ht="12.75" hidden="1">
      <c r="A218" s="28">
        <v>46</v>
      </c>
      <c r="B218" s="28" t="s">
        <v>2776</v>
      </c>
      <c r="C218" s="28">
        <v>12</v>
      </c>
    </row>
    <row r="219" spans="1:3" ht="12.75" hidden="1">
      <c r="A219" s="28">
        <v>47</v>
      </c>
      <c r="B219" s="28" t="s">
        <v>2779</v>
      </c>
      <c r="C219" s="28">
        <v>18</v>
      </c>
    </row>
    <row r="220" spans="1:3" ht="12.75" hidden="1">
      <c r="A220" s="28">
        <v>48</v>
      </c>
      <c r="B220" s="28" t="s">
        <v>2782</v>
      </c>
      <c r="C220" s="28">
        <v>5</v>
      </c>
    </row>
    <row r="221" spans="1:3" ht="12.75" hidden="1">
      <c r="A221" s="28">
        <v>49</v>
      </c>
      <c r="B221" s="28" t="s">
        <v>2785</v>
      </c>
      <c r="C221" s="28">
        <v>4</v>
      </c>
    </row>
    <row r="222" spans="1:3" ht="12.75" hidden="1">
      <c r="A222" s="28">
        <v>50</v>
      </c>
      <c r="B222" s="28" t="s">
        <v>2788</v>
      </c>
      <c r="C222" s="28">
        <v>17</v>
      </c>
    </row>
    <row r="223" spans="1:3" ht="12.75" hidden="1">
      <c r="A223" s="28">
        <v>51</v>
      </c>
      <c r="B223" s="28" t="s">
        <v>2791</v>
      </c>
      <c r="C223" s="28">
        <v>15</v>
      </c>
    </row>
    <row r="224" spans="1:3" ht="12.75" hidden="1">
      <c r="A224" s="28">
        <v>52</v>
      </c>
      <c r="B224" s="28" t="s">
        <v>2794</v>
      </c>
      <c r="C224" s="28">
        <v>8</v>
      </c>
    </row>
    <row r="225" spans="1:3" ht="12.75" hidden="1">
      <c r="A225" s="28">
        <v>53</v>
      </c>
      <c r="B225" s="28" t="s">
        <v>2797</v>
      </c>
      <c r="C225" s="28">
        <v>8</v>
      </c>
    </row>
    <row r="226" spans="1:3" ht="12.75" hidden="1">
      <c r="A226" s="28">
        <v>54</v>
      </c>
      <c r="B226" s="28" t="s">
        <v>2800</v>
      </c>
      <c r="C226" s="28">
        <v>10</v>
      </c>
    </row>
    <row r="227" spans="1:3" ht="12.75" hidden="1">
      <c r="A227" s="28">
        <v>55</v>
      </c>
      <c r="B227" s="28" t="s">
        <v>136</v>
      </c>
      <c r="C227" s="28">
        <v>8</v>
      </c>
    </row>
    <row r="228" spans="1:3" ht="12.75" hidden="1">
      <c r="A228" s="28">
        <v>56</v>
      </c>
      <c r="B228" s="28" t="s">
        <v>2735</v>
      </c>
      <c r="C228" s="28">
        <v>10</v>
      </c>
    </row>
    <row r="229" spans="1:3" ht="12.75" hidden="1">
      <c r="A229" s="28">
        <v>57</v>
      </c>
      <c r="B229" s="28" t="s">
        <v>2738</v>
      </c>
      <c r="C229" s="28">
        <v>10</v>
      </c>
    </row>
    <row r="230" spans="1:3" ht="12.75" hidden="1">
      <c r="A230" s="28">
        <v>58</v>
      </c>
      <c r="B230" s="28" t="s">
        <v>2741</v>
      </c>
      <c r="C230" s="28">
        <v>11</v>
      </c>
    </row>
    <row r="231" spans="1:3" ht="12.75" hidden="1">
      <c r="A231" s="28">
        <v>60</v>
      </c>
      <c r="B231" s="28" t="s">
        <v>2744</v>
      </c>
      <c r="C231" s="28">
        <v>20</v>
      </c>
    </row>
    <row r="232" spans="1:3" ht="12.75" hidden="1">
      <c r="A232" s="28">
        <v>61</v>
      </c>
      <c r="B232" s="28" t="s">
        <v>2747</v>
      </c>
      <c r="C232" s="28">
        <v>8</v>
      </c>
    </row>
    <row r="233" spans="1:3" ht="12.75" hidden="1">
      <c r="A233" s="28">
        <v>63</v>
      </c>
      <c r="B233" s="28" t="s">
        <v>2750</v>
      </c>
      <c r="C233" s="28">
        <v>7</v>
      </c>
    </row>
    <row r="234" spans="1:3" ht="12.75" hidden="1">
      <c r="A234" s="28">
        <v>64</v>
      </c>
      <c r="B234" s="28" t="s">
        <v>2753</v>
      </c>
      <c r="C234" s="28">
        <v>14</v>
      </c>
    </row>
    <row r="235" spans="1:3" ht="12.75" hidden="1">
      <c r="A235" s="28">
        <v>65</v>
      </c>
      <c r="B235" s="28" t="s">
        <v>2756</v>
      </c>
      <c r="C235" s="28">
        <v>14</v>
      </c>
    </row>
    <row r="236" spans="1:3" ht="12.75" hidden="1">
      <c r="A236" s="28">
        <v>66</v>
      </c>
      <c r="B236" s="28" t="s">
        <v>2759</v>
      </c>
      <c r="C236" s="28">
        <v>14</v>
      </c>
    </row>
    <row r="237" spans="1:3" ht="12.75" hidden="1">
      <c r="A237" s="28">
        <v>67</v>
      </c>
      <c r="B237" s="28" t="s">
        <v>2762</v>
      </c>
      <c r="C237" s="28">
        <v>7</v>
      </c>
    </row>
    <row r="238" spans="1:3" ht="12.75" hidden="1">
      <c r="A238" s="28">
        <v>68</v>
      </c>
      <c r="B238" s="28" t="s">
        <v>2765</v>
      </c>
      <c r="C238" s="28">
        <v>12</v>
      </c>
    </row>
    <row r="239" spans="1:3" ht="12.75" hidden="1">
      <c r="A239" s="28">
        <v>69</v>
      </c>
      <c r="B239" s="28" t="s">
        <v>2771</v>
      </c>
      <c r="C239" s="28">
        <v>8</v>
      </c>
    </row>
    <row r="240" spans="1:3" ht="12.75" hidden="1">
      <c r="A240" s="28">
        <v>70</v>
      </c>
      <c r="B240" s="28" t="s">
        <v>2774</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2169</v>
      </c>
      <c r="C247" s="28">
        <v>2</v>
      </c>
    </row>
    <row r="248" spans="1:3" ht="12.75" hidden="1">
      <c r="A248" s="28">
        <v>80</v>
      </c>
      <c r="B248" s="28" t="s">
        <v>2172</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2406</v>
      </c>
      <c r="C253" s="28">
        <v>5</v>
      </c>
    </row>
    <row r="254" spans="1:3" ht="12.75" hidden="1">
      <c r="A254" s="28">
        <v>86</v>
      </c>
      <c r="B254" s="28" t="s">
        <v>1078</v>
      </c>
      <c r="C254" s="28">
        <v>14</v>
      </c>
    </row>
    <row r="255" spans="1:3" ht="12.75" hidden="1">
      <c r="A255" s="28">
        <v>87</v>
      </c>
      <c r="B255" s="28" t="s">
        <v>2462</v>
      </c>
      <c r="C255" s="28">
        <v>17</v>
      </c>
    </row>
    <row r="256" spans="1:3" ht="12.75" hidden="1">
      <c r="A256" s="28">
        <v>88</v>
      </c>
      <c r="B256" s="28" t="s">
        <v>1358</v>
      </c>
      <c r="C256" s="28">
        <v>17</v>
      </c>
    </row>
    <row r="257" spans="1:3" ht="12.75" hidden="1">
      <c r="A257" s="28">
        <v>89</v>
      </c>
      <c r="B257" s="28" t="s">
        <v>2295</v>
      </c>
      <c r="C257" s="28">
        <v>20</v>
      </c>
    </row>
    <row r="258" spans="1:3" ht="12.75" hidden="1">
      <c r="A258" s="28">
        <v>90</v>
      </c>
      <c r="B258" s="28" t="s">
        <v>2301</v>
      </c>
      <c r="C258" s="28">
        <v>4</v>
      </c>
    </row>
    <row r="259" spans="1:3" ht="12.75" hidden="1">
      <c r="A259" s="28">
        <v>91</v>
      </c>
      <c r="B259" s="28" t="s">
        <v>2304</v>
      </c>
      <c r="C259" s="28">
        <v>14</v>
      </c>
    </row>
    <row r="260" spans="1:3" ht="12.75" hidden="1">
      <c r="A260" s="28">
        <v>92</v>
      </c>
      <c r="B260" s="28" t="s">
        <v>2306</v>
      </c>
      <c r="C260" s="28">
        <v>16</v>
      </c>
    </row>
    <row r="261" spans="1:3" ht="12.75" hidden="1">
      <c r="A261" s="28">
        <v>94</v>
      </c>
      <c r="B261" s="28" t="s">
        <v>2309</v>
      </c>
      <c r="C261" s="28">
        <v>14</v>
      </c>
    </row>
    <row r="262" spans="1:3" ht="12.75" hidden="1">
      <c r="A262" s="28">
        <v>95</v>
      </c>
      <c r="B262" s="28" t="s">
        <v>2461</v>
      </c>
      <c r="C262" s="28">
        <v>15</v>
      </c>
    </row>
    <row r="263" spans="1:3" ht="12.75" hidden="1">
      <c r="A263" s="28">
        <v>96</v>
      </c>
      <c r="B263" s="28" t="s">
        <v>2464</v>
      </c>
      <c r="C263" s="28">
        <v>6</v>
      </c>
    </row>
    <row r="264" spans="1:3" ht="12.75" hidden="1">
      <c r="A264" s="28">
        <v>97</v>
      </c>
      <c r="B264" s="28" t="s">
        <v>2467</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2255</v>
      </c>
      <c r="C269" s="28">
        <v>3</v>
      </c>
    </row>
    <row r="270" spans="1:3" ht="12.75" hidden="1">
      <c r="A270" s="28">
        <v>103</v>
      </c>
      <c r="B270" s="28" t="s">
        <v>2258</v>
      </c>
      <c r="C270" s="28">
        <v>14</v>
      </c>
    </row>
    <row r="271" spans="1:3" ht="12.75" hidden="1">
      <c r="A271" s="28">
        <v>104</v>
      </c>
      <c r="B271" s="28" t="s">
        <v>2261</v>
      </c>
      <c r="C271" s="28">
        <v>6</v>
      </c>
    </row>
    <row r="272" spans="1:3" ht="12.75" hidden="1">
      <c r="A272" s="28">
        <v>105</v>
      </c>
      <c r="B272" s="28" t="s">
        <v>2264</v>
      </c>
      <c r="C272" s="28">
        <v>7</v>
      </c>
    </row>
    <row r="273" spans="1:3" ht="12.75" hidden="1">
      <c r="A273" s="28">
        <v>106</v>
      </c>
      <c r="B273" s="28" t="s">
        <v>2267</v>
      </c>
      <c r="C273" s="28">
        <v>14</v>
      </c>
    </row>
    <row r="274" spans="1:3" ht="12.75" hidden="1">
      <c r="A274" s="28">
        <v>107</v>
      </c>
      <c r="B274" s="28" t="s">
        <v>2270</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2163</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2193</v>
      </c>
      <c r="C292" s="28">
        <v>5</v>
      </c>
    </row>
    <row r="293" spans="1:3" ht="12.75" hidden="1">
      <c r="A293" s="28">
        <v>130</v>
      </c>
      <c r="B293" s="28" t="s">
        <v>2183</v>
      </c>
      <c r="C293" s="28">
        <v>9</v>
      </c>
    </row>
    <row r="294" spans="1:3" ht="12.75" hidden="1">
      <c r="A294" s="28">
        <v>131</v>
      </c>
      <c r="B294" s="28" t="s">
        <v>2186</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2152</v>
      </c>
      <c r="C298" s="28">
        <v>1</v>
      </c>
    </row>
    <row r="299" spans="1:3" ht="12.75" hidden="1">
      <c r="A299" s="28">
        <v>136</v>
      </c>
      <c r="B299" s="28" t="s">
        <v>2155</v>
      </c>
      <c r="C299" s="28">
        <v>10</v>
      </c>
    </row>
    <row r="300" spans="1:3" ht="12.75" hidden="1">
      <c r="A300" s="28">
        <v>137</v>
      </c>
      <c r="B300" s="28" t="s">
        <v>2158</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2720</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2408</v>
      </c>
      <c r="C312" s="28">
        <v>2</v>
      </c>
    </row>
    <row r="313" spans="1:3" ht="12.75" hidden="1">
      <c r="A313" s="28">
        <v>153</v>
      </c>
      <c r="B313" s="28" t="s">
        <v>2926</v>
      </c>
      <c r="C313" s="28">
        <v>17</v>
      </c>
    </row>
    <row r="314" spans="1:3" ht="12.75" hidden="1">
      <c r="A314" s="28">
        <v>154</v>
      </c>
      <c r="B314" s="28" t="s">
        <v>2929</v>
      </c>
      <c r="C314" s="28">
        <v>16</v>
      </c>
    </row>
    <row r="315" spans="1:3" ht="12.75" hidden="1">
      <c r="A315" s="28">
        <v>155</v>
      </c>
      <c r="B315" s="28" t="s">
        <v>2932</v>
      </c>
      <c r="C315" s="28">
        <v>17</v>
      </c>
    </row>
    <row r="316" spans="1:3" ht="12.75" hidden="1">
      <c r="A316" s="28">
        <v>156</v>
      </c>
      <c r="B316" s="28" t="s">
        <v>2935</v>
      </c>
      <c r="C316" s="28">
        <v>5</v>
      </c>
    </row>
    <row r="317" spans="1:3" ht="12.75" hidden="1">
      <c r="A317" s="28">
        <v>158</v>
      </c>
      <c r="B317" s="28" t="s">
        <v>2938</v>
      </c>
      <c r="C317" s="28">
        <v>1</v>
      </c>
    </row>
    <row r="318" spans="1:3" ht="12.75" hidden="1">
      <c r="A318" s="28">
        <v>159</v>
      </c>
      <c r="B318" s="28" t="s">
        <v>2941</v>
      </c>
      <c r="C318" s="28">
        <v>16</v>
      </c>
    </row>
    <row r="319" spans="1:3" ht="12.75" hidden="1">
      <c r="A319" s="28">
        <v>161</v>
      </c>
      <c r="B319" s="28" t="s">
        <v>2944</v>
      </c>
      <c r="C319" s="28">
        <v>7</v>
      </c>
    </row>
    <row r="320" spans="1:3" ht="12.75" hidden="1">
      <c r="A320" s="28">
        <v>163</v>
      </c>
      <c r="B320" s="28" t="s">
        <v>2950</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2208</v>
      </c>
      <c r="C336" s="28">
        <v>8</v>
      </c>
    </row>
    <row r="337" spans="1:3" ht="12.75" hidden="1">
      <c r="A337" s="28">
        <v>181</v>
      </c>
      <c r="B337" s="28" t="s">
        <v>2322</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2236</v>
      </c>
      <c r="C376" s="28">
        <v>6</v>
      </c>
    </row>
    <row r="377" spans="1:3" ht="12.75" hidden="1">
      <c r="A377" s="28">
        <v>228</v>
      </c>
      <c r="B377" s="28" t="s">
        <v>2239</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2397</v>
      </c>
      <c r="C380" s="28">
        <v>11</v>
      </c>
    </row>
    <row r="381" spans="1:3" ht="12.75" hidden="1">
      <c r="A381" s="28">
        <v>232</v>
      </c>
      <c r="B381" s="28" t="s">
        <v>2777</v>
      </c>
      <c r="C381" s="28">
        <v>3</v>
      </c>
    </row>
    <row r="382" spans="1:3" ht="12.75" hidden="1">
      <c r="A382" s="28">
        <v>234</v>
      </c>
      <c r="B382" s="28" t="s">
        <v>2780</v>
      </c>
      <c r="C382" s="28">
        <v>13</v>
      </c>
    </row>
    <row r="383" spans="1:3" ht="12.75" hidden="1">
      <c r="A383" s="28">
        <v>235</v>
      </c>
      <c r="B383" s="28" t="s">
        <v>2783</v>
      </c>
      <c r="C383" s="28">
        <v>18</v>
      </c>
    </row>
    <row r="384" spans="1:3" ht="12.75" hidden="1">
      <c r="A384" s="28">
        <v>236</v>
      </c>
      <c r="B384" s="28" t="s">
        <v>2786</v>
      </c>
      <c r="C384" s="28">
        <v>2</v>
      </c>
    </row>
    <row r="385" spans="1:3" ht="12.75" hidden="1">
      <c r="A385" s="28">
        <v>237</v>
      </c>
      <c r="B385" s="28" t="s">
        <v>2789</v>
      </c>
      <c r="C385" s="28">
        <v>8</v>
      </c>
    </row>
    <row r="386" spans="1:3" ht="12.75" hidden="1">
      <c r="A386" s="28">
        <v>239</v>
      </c>
      <c r="B386" s="28" t="s">
        <v>2798</v>
      </c>
      <c r="C386" s="28">
        <v>16</v>
      </c>
    </row>
    <row r="387" spans="1:3" ht="12.75" hidden="1">
      <c r="A387" s="28">
        <v>240</v>
      </c>
      <c r="B387" s="28" t="s">
        <v>2801</v>
      </c>
      <c r="C387" s="28">
        <v>9</v>
      </c>
    </row>
    <row r="388" spans="1:3" ht="12.75" hidden="1">
      <c r="A388" s="28">
        <v>242</v>
      </c>
      <c r="B388" s="28" t="s">
        <v>2733</v>
      </c>
      <c r="C388" s="28">
        <v>8</v>
      </c>
    </row>
    <row r="389" spans="1:3" ht="12.75" hidden="1">
      <c r="A389" s="28">
        <v>243</v>
      </c>
      <c r="B389" s="28" t="s">
        <v>2736</v>
      </c>
      <c r="C389" s="28">
        <v>17</v>
      </c>
    </row>
    <row r="390" spans="1:3" ht="12.75" hidden="1">
      <c r="A390" s="28">
        <v>244</v>
      </c>
      <c r="B390" s="28" t="s">
        <v>2739</v>
      </c>
      <c r="C390" s="28">
        <v>5</v>
      </c>
    </row>
    <row r="391" spans="1:3" ht="12.75" hidden="1">
      <c r="A391" s="28">
        <v>245</v>
      </c>
      <c r="B391" s="28" t="s">
        <v>2745</v>
      </c>
      <c r="C391" s="28">
        <v>10</v>
      </c>
    </row>
    <row r="392" spans="1:3" ht="12.75" hidden="1">
      <c r="A392" s="28">
        <v>246</v>
      </c>
      <c r="B392" s="28" t="s">
        <v>2751</v>
      </c>
      <c r="C392" s="28">
        <v>18</v>
      </c>
    </row>
    <row r="393" spans="1:3" ht="12.75" hidden="1">
      <c r="A393" s="28">
        <v>247</v>
      </c>
      <c r="B393" s="28" t="s">
        <v>2754</v>
      </c>
      <c r="C393" s="28">
        <v>5</v>
      </c>
    </row>
    <row r="394" spans="1:3" ht="12.75" hidden="1">
      <c r="A394" s="28">
        <v>248</v>
      </c>
      <c r="B394" s="28" t="s">
        <v>2757</v>
      </c>
      <c r="C394" s="28">
        <v>2</v>
      </c>
    </row>
    <row r="395" spans="1:3" ht="12.75" hidden="1">
      <c r="A395" s="28">
        <v>249</v>
      </c>
      <c r="B395" s="28" t="s">
        <v>2766</v>
      </c>
      <c r="C395" s="28">
        <v>17</v>
      </c>
    </row>
    <row r="396" spans="1:3" ht="12.75" hidden="1">
      <c r="A396" s="28">
        <v>250</v>
      </c>
      <c r="B396" s="28" t="s">
        <v>2769</v>
      </c>
      <c r="C396" s="28">
        <v>20</v>
      </c>
    </row>
    <row r="397" spans="1:3" ht="12.75" hidden="1">
      <c r="A397" s="28">
        <v>251</v>
      </c>
      <c r="B397" s="28" t="s">
        <v>2772</v>
      </c>
      <c r="C397" s="28">
        <v>5</v>
      </c>
    </row>
    <row r="398" spans="1:3" ht="12.75" hidden="1">
      <c r="A398" s="28">
        <v>252</v>
      </c>
      <c r="B398" s="28" t="s">
        <v>2854</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2167</v>
      </c>
      <c r="C403" s="28">
        <v>17</v>
      </c>
    </row>
    <row r="404" spans="1:3" ht="12.75" hidden="1">
      <c r="A404" s="28">
        <v>259</v>
      </c>
      <c r="B404" s="28" t="s">
        <v>2173</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2293</v>
      </c>
      <c r="C410" s="28">
        <v>10</v>
      </c>
    </row>
    <row r="411" spans="1:3" ht="12.75" hidden="1">
      <c r="A411" s="28">
        <v>267</v>
      </c>
      <c r="B411" s="28" t="s">
        <v>2296</v>
      </c>
      <c r="C411" s="28">
        <v>17</v>
      </c>
    </row>
    <row r="412" spans="1:3" ht="12.75" hidden="1">
      <c r="A412" s="28">
        <v>268</v>
      </c>
      <c r="B412" s="28" t="s">
        <v>2299</v>
      </c>
      <c r="C412" s="28">
        <v>19</v>
      </c>
    </row>
    <row r="413" spans="1:3" ht="12.75" hidden="1">
      <c r="A413" s="28">
        <v>270</v>
      </c>
      <c r="B413" s="28" t="s">
        <v>2302</v>
      </c>
      <c r="C413" s="28">
        <v>6</v>
      </c>
    </row>
    <row r="414" spans="1:3" ht="12.75" hidden="1">
      <c r="A414" s="28">
        <v>271</v>
      </c>
      <c r="B414" s="28" t="s">
        <v>1148</v>
      </c>
      <c r="C414" s="28">
        <v>14</v>
      </c>
    </row>
    <row r="415" spans="1:3" ht="12.75" hidden="1">
      <c r="A415" s="28">
        <v>273</v>
      </c>
      <c r="B415" s="28" t="s">
        <v>2305</v>
      </c>
      <c r="C415" s="28">
        <v>8</v>
      </c>
    </row>
    <row r="416" spans="1:3" ht="12.75" hidden="1">
      <c r="A416" s="28">
        <v>274</v>
      </c>
      <c r="B416" s="28" t="s">
        <v>2307</v>
      </c>
      <c r="C416" s="28">
        <v>18</v>
      </c>
    </row>
    <row r="417" spans="1:3" ht="12.75" hidden="1">
      <c r="A417" s="28">
        <v>275</v>
      </c>
      <c r="B417" s="28" t="s">
        <v>2310</v>
      </c>
      <c r="C417" s="28">
        <v>8</v>
      </c>
    </row>
    <row r="418" spans="1:3" ht="12.75" hidden="1">
      <c r="A418" s="28">
        <v>276</v>
      </c>
      <c r="B418" s="28" t="s">
        <v>2465</v>
      </c>
      <c r="C418" s="28">
        <v>20</v>
      </c>
    </row>
    <row r="419" spans="1:3" ht="12.75" hidden="1">
      <c r="A419" s="28">
        <v>278</v>
      </c>
      <c r="B419" s="28" t="s">
        <v>2704</v>
      </c>
      <c r="C419" s="28">
        <v>14</v>
      </c>
    </row>
    <row r="420" spans="1:3" ht="12.75" hidden="1">
      <c r="A420" s="28">
        <v>279</v>
      </c>
      <c r="B420" s="28" t="s">
        <v>2707</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2256</v>
      </c>
      <c r="C424" s="28">
        <v>10</v>
      </c>
    </row>
    <row r="425" spans="1:3" ht="12.75" hidden="1">
      <c r="A425" s="28">
        <v>284</v>
      </c>
      <c r="B425" s="28" t="s">
        <v>2259</v>
      </c>
      <c r="C425" s="28">
        <v>12</v>
      </c>
    </row>
    <row r="426" spans="1:3" ht="12.75" hidden="1">
      <c r="A426" s="28">
        <v>285</v>
      </c>
      <c r="B426" s="28" t="s">
        <v>2262</v>
      </c>
      <c r="C426" s="28">
        <v>12</v>
      </c>
    </row>
    <row r="427" spans="1:3" ht="12.75" hidden="1">
      <c r="A427" s="28">
        <v>287</v>
      </c>
      <c r="B427" s="28" t="s">
        <v>2265</v>
      </c>
      <c r="C427" s="28">
        <v>7</v>
      </c>
    </row>
    <row r="428" spans="1:3" ht="12.75" hidden="1">
      <c r="A428" s="28">
        <v>288</v>
      </c>
      <c r="B428" s="28" t="s">
        <v>2268</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2409</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2164</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2197</v>
      </c>
      <c r="C450" s="28">
        <v>2</v>
      </c>
    </row>
    <row r="451" spans="1:3" ht="12.75" hidden="1">
      <c r="A451" s="28">
        <v>312</v>
      </c>
      <c r="B451" s="28" t="s">
        <v>2184</v>
      </c>
      <c r="C451" s="28">
        <v>14</v>
      </c>
    </row>
    <row r="452" spans="1:3" ht="12.75" hidden="1">
      <c r="A452" s="28">
        <v>313</v>
      </c>
      <c r="B452" s="28" t="s">
        <v>2187</v>
      </c>
      <c r="C452" s="28">
        <v>9</v>
      </c>
    </row>
    <row r="453" spans="1:3" ht="12.75" hidden="1">
      <c r="A453" s="28">
        <v>314</v>
      </c>
      <c r="B453" s="28" t="s">
        <v>211</v>
      </c>
      <c r="C453" s="28">
        <v>17</v>
      </c>
    </row>
    <row r="454" spans="1:3" ht="12.75" hidden="1">
      <c r="A454" s="28">
        <v>315</v>
      </c>
      <c r="B454" s="28" t="s">
        <v>2153</v>
      </c>
      <c r="C454" s="28">
        <v>4</v>
      </c>
    </row>
    <row r="455" spans="1:3" ht="12.75" hidden="1">
      <c r="A455" s="28">
        <v>316</v>
      </c>
      <c r="B455" s="28" t="s">
        <v>2156</v>
      </c>
      <c r="C455" s="28">
        <v>13</v>
      </c>
    </row>
    <row r="456" spans="1:3" ht="12.75" hidden="1">
      <c r="A456" s="28">
        <v>317</v>
      </c>
      <c r="B456" s="28" t="s">
        <v>2159</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2369</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2927</v>
      </c>
      <c r="C468" s="28">
        <v>1</v>
      </c>
    </row>
    <row r="469" spans="1:3" ht="12.75" hidden="1">
      <c r="A469" s="28">
        <v>332</v>
      </c>
      <c r="B469" s="28" t="s">
        <v>2930</v>
      </c>
      <c r="C469" s="28">
        <v>10</v>
      </c>
    </row>
    <row r="470" spans="1:3" ht="12.75" hidden="1">
      <c r="A470" s="28">
        <v>333</v>
      </c>
      <c r="B470" s="28" t="s">
        <v>2933</v>
      </c>
      <c r="C470" s="28">
        <v>4</v>
      </c>
    </row>
    <row r="471" spans="1:3" ht="12.75" hidden="1">
      <c r="A471" s="28">
        <v>334</v>
      </c>
      <c r="B471" s="28" t="s">
        <v>2936</v>
      </c>
      <c r="C471" s="28">
        <v>11</v>
      </c>
    </row>
    <row r="472" spans="1:3" ht="12.75" hidden="1">
      <c r="A472" s="28">
        <v>335</v>
      </c>
      <c r="B472" s="28" t="s">
        <v>2942</v>
      </c>
      <c r="C472" s="28">
        <v>19</v>
      </c>
    </row>
    <row r="473" spans="1:3" ht="12.75" hidden="1">
      <c r="A473" s="28">
        <v>337</v>
      </c>
      <c r="B473" s="28" t="s">
        <v>2945</v>
      </c>
      <c r="C473" s="28">
        <v>17</v>
      </c>
    </row>
    <row r="474" spans="1:3" ht="12.75" hidden="1">
      <c r="A474" s="28">
        <v>338</v>
      </c>
      <c r="B474" s="28" t="s">
        <v>2948</v>
      </c>
      <c r="C474" s="28">
        <v>12</v>
      </c>
    </row>
    <row r="475" spans="1:3" ht="12.75" hidden="1">
      <c r="A475" s="28">
        <v>339</v>
      </c>
      <c r="B475" s="28" t="s">
        <v>2951</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2234</v>
      </c>
      <c r="C527" s="28">
        <v>12</v>
      </c>
    </row>
    <row r="528" spans="1:3" ht="12.75" hidden="1">
      <c r="A528" s="28">
        <v>397</v>
      </c>
      <c r="B528" s="28" t="s">
        <v>2237</v>
      </c>
      <c r="C528" s="28">
        <v>12</v>
      </c>
    </row>
    <row r="529" spans="1:3" ht="12.75" hidden="1">
      <c r="A529" s="28">
        <v>399</v>
      </c>
      <c r="B529" s="28" t="s">
        <v>2240</v>
      </c>
      <c r="C529" s="28">
        <v>19</v>
      </c>
    </row>
    <row r="530" spans="1:3" ht="12.75" hidden="1">
      <c r="A530" s="28">
        <v>400</v>
      </c>
      <c r="B530" s="28" t="s">
        <v>1672</v>
      </c>
      <c r="C530" s="28">
        <v>4</v>
      </c>
    </row>
    <row r="531" spans="1:3" ht="12.75" hidden="1">
      <c r="A531" s="28">
        <v>402</v>
      </c>
      <c r="B531" s="28" t="s">
        <v>2395</v>
      </c>
      <c r="C531" s="28">
        <v>19</v>
      </c>
    </row>
    <row r="532" spans="1:3" ht="12.75" hidden="1">
      <c r="A532" s="28">
        <v>405</v>
      </c>
      <c r="B532" s="28" t="s">
        <v>2775</v>
      </c>
      <c r="C532" s="28">
        <v>6</v>
      </c>
    </row>
    <row r="533" spans="1:3" ht="12.75" hidden="1">
      <c r="A533" s="28">
        <v>406</v>
      </c>
      <c r="B533" s="28" t="s">
        <v>2778</v>
      </c>
      <c r="C533" s="28">
        <v>17</v>
      </c>
    </row>
    <row r="534" spans="1:3" ht="12.75" hidden="1">
      <c r="A534" s="28">
        <v>407</v>
      </c>
      <c r="B534" s="28" t="s">
        <v>2781</v>
      </c>
      <c r="C534" s="28">
        <v>10</v>
      </c>
    </row>
    <row r="535" spans="1:3" ht="12.75" hidden="1">
      <c r="A535" s="28">
        <v>409</v>
      </c>
      <c r="B535" s="28" t="s">
        <v>2784</v>
      </c>
      <c r="C535" s="28">
        <v>17</v>
      </c>
    </row>
    <row r="536" spans="1:3" ht="12.75" hidden="1">
      <c r="A536" s="28">
        <v>410</v>
      </c>
      <c r="B536" s="28" t="s">
        <v>2787</v>
      </c>
      <c r="C536" s="28">
        <v>5</v>
      </c>
    </row>
    <row r="537" spans="1:3" ht="12.75" hidden="1">
      <c r="A537" s="28">
        <v>411</v>
      </c>
      <c r="B537" s="28" t="s">
        <v>2790</v>
      </c>
      <c r="C537" s="28">
        <v>13</v>
      </c>
    </row>
    <row r="538" spans="1:3" ht="12.75" hidden="1">
      <c r="A538" s="28">
        <v>412</v>
      </c>
      <c r="B538" s="28" t="s">
        <v>2793</v>
      </c>
      <c r="C538" s="28">
        <v>12</v>
      </c>
    </row>
    <row r="539" spans="1:3" ht="12.75" hidden="1">
      <c r="A539" s="28">
        <v>413</v>
      </c>
      <c r="B539" s="28" t="s">
        <v>2796</v>
      </c>
      <c r="C539" s="28">
        <v>17</v>
      </c>
    </row>
    <row r="540" spans="1:3" ht="12.75" hidden="1">
      <c r="A540" s="28">
        <v>414</v>
      </c>
      <c r="B540" s="28" t="s">
        <v>2799</v>
      </c>
      <c r="C540" s="28">
        <v>16</v>
      </c>
    </row>
    <row r="541" spans="1:3" ht="12.75" hidden="1">
      <c r="A541" s="28">
        <v>415</v>
      </c>
      <c r="B541" s="28" t="s">
        <v>135</v>
      </c>
      <c r="C541" s="28">
        <v>16</v>
      </c>
    </row>
    <row r="542" spans="1:3" ht="12.75" hidden="1">
      <c r="A542" s="28">
        <v>416</v>
      </c>
      <c r="B542" s="28" t="s">
        <v>2734</v>
      </c>
      <c r="C542" s="28">
        <v>13</v>
      </c>
    </row>
    <row r="543" spans="1:3" ht="12.75" hidden="1">
      <c r="A543" s="28">
        <v>418</v>
      </c>
      <c r="B543" s="28" t="s">
        <v>2737</v>
      </c>
      <c r="C543" s="28">
        <v>12</v>
      </c>
    </row>
    <row r="544" spans="1:3" ht="12.75" hidden="1">
      <c r="A544" s="28">
        <v>419</v>
      </c>
      <c r="B544" s="28" t="s">
        <v>2740</v>
      </c>
      <c r="C544" s="28">
        <v>19</v>
      </c>
    </row>
    <row r="545" spans="1:3" ht="12.75" hidden="1">
      <c r="A545" s="28">
        <v>421</v>
      </c>
      <c r="B545" s="28" t="s">
        <v>2746</v>
      </c>
      <c r="C545" s="28">
        <v>14</v>
      </c>
    </row>
    <row r="546" spans="1:3" ht="12.75" hidden="1">
      <c r="A546" s="28">
        <v>422</v>
      </c>
      <c r="B546" s="28" t="s">
        <v>2749</v>
      </c>
      <c r="C546" s="28">
        <v>2</v>
      </c>
    </row>
    <row r="547" spans="1:3" ht="12.75" hidden="1">
      <c r="A547" s="28">
        <v>423</v>
      </c>
      <c r="B547" s="28" t="s">
        <v>2755</v>
      </c>
      <c r="C547" s="28">
        <v>17</v>
      </c>
    </row>
    <row r="548" spans="1:3" ht="12.75" hidden="1">
      <c r="A548" s="28">
        <v>424</v>
      </c>
      <c r="B548" s="28" t="s">
        <v>2758</v>
      </c>
      <c r="C548" s="28">
        <v>10</v>
      </c>
    </row>
    <row r="549" spans="1:3" ht="12.75" hidden="1">
      <c r="A549" s="28">
        <v>425</v>
      </c>
      <c r="B549" s="28" t="s">
        <v>2761</v>
      </c>
      <c r="C549" s="28">
        <v>13</v>
      </c>
    </row>
    <row r="550" spans="1:3" ht="12.75" hidden="1">
      <c r="A550" s="28">
        <v>426</v>
      </c>
      <c r="B550" s="28" t="s">
        <v>2764</v>
      </c>
      <c r="C550" s="28">
        <v>3</v>
      </c>
    </row>
    <row r="551" spans="1:3" ht="12.75" hidden="1">
      <c r="A551" s="28">
        <v>427</v>
      </c>
      <c r="B551" s="28" t="s">
        <v>2767</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2412</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2411</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2168</v>
      </c>
      <c r="C562" s="28">
        <v>6</v>
      </c>
    </row>
    <row r="563" spans="1:3" ht="12.75" hidden="1">
      <c r="A563" s="28">
        <v>440</v>
      </c>
      <c r="B563" s="28" t="s">
        <v>2171</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2300</v>
      </c>
      <c r="C566" s="28">
        <v>17</v>
      </c>
    </row>
    <row r="567" spans="1:3" ht="12.75" hidden="1">
      <c r="A567" s="28">
        <v>444</v>
      </c>
      <c r="B567" s="28" t="s">
        <v>2303</v>
      </c>
      <c r="C567" s="28">
        <v>15</v>
      </c>
    </row>
    <row r="568" spans="1:3" ht="12.75" hidden="1">
      <c r="A568" s="28">
        <v>445</v>
      </c>
      <c r="B568" s="28" t="s">
        <v>2407</v>
      </c>
      <c r="C568" s="28">
        <v>13</v>
      </c>
    </row>
    <row r="569" spans="1:3" ht="12.75" hidden="1">
      <c r="A569" s="28">
        <v>447</v>
      </c>
      <c r="B569" s="28" t="s">
        <v>2460</v>
      </c>
      <c r="C569" s="28">
        <v>17</v>
      </c>
    </row>
    <row r="570" spans="1:3" ht="12.75" hidden="1">
      <c r="A570" s="28">
        <v>449</v>
      </c>
      <c r="B570" s="28" t="s">
        <v>2463</v>
      </c>
      <c r="C570" s="28">
        <v>10</v>
      </c>
    </row>
    <row r="571" spans="1:3" ht="12.75" hidden="1">
      <c r="A571" s="28">
        <v>450</v>
      </c>
      <c r="B571" s="28" t="s">
        <v>2466</v>
      </c>
      <c r="C571" s="28">
        <v>7</v>
      </c>
    </row>
    <row r="572" spans="1:3" ht="12.75" hidden="1">
      <c r="A572" s="28">
        <v>452</v>
      </c>
      <c r="B572" s="28" t="s">
        <v>2705</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2939</v>
      </c>
      <c r="C575" s="28">
        <v>9</v>
      </c>
    </row>
    <row r="576" spans="1:3" ht="12.75" hidden="1">
      <c r="A576" s="28">
        <v>456</v>
      </c>
      <c r="B576" s="28" t="s">
        <v>1725</v>
      </c>
      <c r="C576" s="28">
        <v>16</v>
      </c>
    </row>
    <row r="577" spans="1:3" ht="12.75" hidden="1">
      <c r="A577" s="28">
        <v>457</v>
      </c>
      <c r="B577" s="28" t="s">
        <v>2254</v>
      </c>
      <c r="C577" s="28">
        <v>3</v>
      </c>
    </row>
    <row r="578" spans="1:3" ht="12.75" hidden="1">
      <c r="A578" s="28">
        <v>458</v>
      </c>
      <c r="B578" s="28" t="s">
        <v>2257</v>
      </c>
      <c r="C578" s="28">
        <v>16</v>
      </c>
    </row>
    <row r="579" spans="1:3" ht="12.75" hidden="1">
      <c r="A579" s="28">
        <v>459</v>
      </c>
      <c r="B579" s="28" t="s">
        <v>2263</v>
      </c>
      <c r="C579" s="28">
        <v>16</v>
      </c>
    </row>
    <row r="580" spans="1:3" ht="12.75" hidden="1">
      <c r="A580" s="28">
        <v>460</v>
      </c>
      <c r="B580" s="28" t="s">
        <v>2269</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2162</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2195</v>
      </c>
      <c r="C599" s="28">
        <v>7</v>
      </c>
    </row>
    <row r="600" spans="1:3" ht="12.75" hidden="1">
      <c r="A600" s="28">
        <v>484</v>
      </c>
      <c r="B600" s="28" t="s">
        <v>2182</v>
      </c>
      <c r="C600" s="28">
        <v>5</v>
      </c>
    </row>
    <row r="601" spans="1:3" ht="12.75" hidden="1">
      <c r="A601" s="28">
        <v>485</v>
      </c>
      <c r="B601" s="28" t="s">
        <v>2185</v>
      </c>
      <c r="C601" s="28">
        <v>14</v>
      </c>
    </row>
    <row r="602" spans="1:3" ht="12.75" hidden="1">
      <c r="A602" s="28">
        <v>486</v>
      </c>
      <c r="B602" s="28" t="s">
        <v>2188</v>
      </c>
      <c r="C602" s="28">
        <v>5</v>
      </c>
    </row>
    <row r="603" spans="1:3" ht="12.75" hidden="1">
      <c r="A603" s="28">
        <v>487</v>
      </c>
      <c r="B603" s="28" t="s">
        <v>212</v>
      </c>
      <c r="C603" s="28">
        <v>16</v>
      </c>
    </row>
    <row r="604" spans="1:3" ht="12.75" hidden="1">
      <c r="A604" s="28">
        <v>488</v>
      </c>
      <c r="B604" s="28" t="s">
        <v>2151</v>
      </c>
      <c r="C604" s="28">
        <v>8</v>
      </c>
    </row>
    <row r="605" spans="1:3" ht="12.75" hidden="1">
      <c r="A605" s="28">
        <v>489</v>
      </c>
      <c r="B605" s="28" t="s">
        <v>2154</v>
      </c>
      <c r="C605" s="28">
        <v>13</v>
      </c>
    </row>
    <row r="606" spans="1:3" ht="12.75" hidden="1">
      <c r="A606" s="28">
        <v>490</v>
      </c>
      <c r="B606" s="28" t="s">
        <v>2157</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2370</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2925</v>
      </c>
      <c r="C617" s="28">
        <v>4</v>
      </c>
    </row>
    <row r="618" spans="1:3" ht="12.75" hidden="1">
      <c r="A618" s="28">
        <v>504</v>
      </c>
      <c r="B618" s="28" t="s">
        <v>2928</v>
      </c>
      <c r="C618" s="28">
        <v>20</v>
      </c>
    </row>
    <row r="619" spans="1:3" ht="12.75" hidden="1">
      <c r="A619" s="28">
        <v>505</v>
      </c>
      <c r="B619" s="28" t="s">
        <v>2931</v>
      </c>
      <c r="C619" s="28">
        <v>16</v>
      </c>
    </row>
    <row r="620" spans="1:3" ht="12.75" hidden="1">
      <c r="A620" s="28">
        <v>506</v>
      </c>
      <c r="B620" s="28" t="s">
        <v>2934</v>
      </c>
      <c r="C620" s="28">
        <v>12</v>
      </c>
    </row>
    <row r="621" spans="1:3" ht="12.75" hidden="1">
      <c r="A621" s="28">
        <v>507</v>
      </c>
      <c r="B621" s="28" t="s">
        <v>2937</v>
      </c>
      <c r="C621" s="28">
        <v>8</v>
      </c>
    </row>
    <row r="622" spans="1:3" ht="12.75" hidden="1">
      <c r="A622" s="28">
        <v>508</v>
      </c>
      <c r="B622" s="28" t="s">
        <v>2940</v>
      </c>
      <c r="C622" s="28">
        <v>1</v>
      </c>
    </row>
    <row r="623" spans="1:3" ht="12.75" hidden="1">
      <c r="A623" s="28">
        <v>509</v>
      </c>
      <c r="B623" s="28" t="s">
        <v>2943</v>
      </c>
      <c r="C623" s="28">
        <v>8</v>
      </c>
    </row>
    <row r="624" spans="1:3" ht="12.75" hidden="1">
      <c r="A624" s="28">
        <v>510</v>
      </c>
      <c r="B624" s="28" t="s">
        <v>705</v>
      </c>
      <c r="C624" s="28">
        <v>3</v>
      </c>
    </row>
    <row r="625" spans="1:3" ht="12.75" hidden="1">
      <c r="A625" s="28">
        <v>511</v>
      </c>
      <c r="B625" s="28" t="s">
        <v>2946</v>
      </c>
      <c r="C625" s="28">
        <v>17</v>
      </c>
    </row>
    <row r="626" spans="1:3" ht="12.75" hidden="1">
      <c r="A626" s="28">
        <v>512</v>
      </c>
      <c r="B626" s="28" t="s">
        <v>2949</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2889</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2410</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2321</v>
      </c>
      <c r="C651" s="28">
        <v>1</v>
      </c>
    </row>
    <row r="652" spans="1:3" ht="12.75" hidden="1">
      <c r="A652" s="28">
        <v>541</v>
      </c>
      <c r="B652" s="28" t="s">
        <v>2165</v>
      </c>
      <c r="C652" s="28">
        <v>1</v>
      </c>
    </row>
    <row r="653" spans="1:3" ht="12.75" hidden="1">
      <c r="A653" s="28">
        <v>542</v>
      </c>
      <c r="B653" s="28" t="s">
        <v>2194</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2742</v>
      </c>
      <c r="C658" s="28">
        <v>1</v>
      </c>
    </row>
    <row r="659" spans="1:3" ht="12.75" hidden="1">
      <c r="A659" s="28">
        <v>549</v>
      </c>
      <c r="B659" s="28" t="s">
        <v>2703</v>
      </c>
      <c r="C659" s="28">
        <v>1</v>
      </c>
    </row>
    <row r="660" spans="1:3" ht="12.75" hidden="1">
      <c r="A660" s="28">
        <v>550</v>
      </c>
      <c r="B660" s="28" t="s">
        <v>43</v>
      </c>
      <c r="C660" s="28">
        <v>1</v>
      </c>
    </row>
    <row r="661" spans="1:3" ht="12.75" hidden="1">
      <c r="A661" s="28">
        <v>551</v>
      </c>
      <c r="B661" s="28" t="s">
        <v>2752</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2763</v>
      </c>
      <c r="C665" s="28">
        <v>3</v>
      </c>
    </row>
    <row r="666" spans="1:3" ht="12.75" hidden="1">
      <c r="A666" s="28">
        <v>556</v>
      </c>
      <c r="B666" s="28" t="s">
        <v>548</v>
      </c>
      <c r="C666" s="28">
        <v>4</v>
      </c>
    </row>
    <row r="667" spans="1:3" ht="12.75" hidden="1">
      <c r="A667" s="28">
        <v>557</v>
      </c>
      <c r="B667" s="28" t="s">
        <v>2260</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2294</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2298</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2413</v>
      </c>
      <c r="C683" s="28">
        <v>13</v>
      </c>
    </row>
    <row r="684" spans="1:3" ht="12.75" hidden="1">
      <c r="A684" s="28">
        <v>575</v>
      </c>
      <c r="B684" s="28" t="s">
        <v>1722</v>
      </c>
      <c r="C684" s="28">
        <v>13</v>
      </c>
    </row>
    <row r="685" spans="1:3" ht="12.75" hidden="1">
      <c r="A685" s="28">
        <v>576</v>
      </c>
      <c r="B685" s="28" t="s">
        <v>2166</v>
      </c>
      <c r="C685" s="28">
        <v>14</v>
      </c>
    </row>
    <row r="686" spans="1:3" ht="12.75" hidden="1">
      <c r="A686" s="28">
        <v>578</v>
      </c>
      <c r="B686" s="28" t="s">
        <v>2760</v>
      </c>
      <c r="C686" s="28">
        <v>14</v>
      </c>
    </row>
    <row r="687" spans="1:3" ht="12.75" hidden="1">
      <c r="A687" s="28">
        <v>579</v>
      </c>
      <c r="B687" s="28" t="s">
        <v>1612</v>
      </c>
      <c r="C687" s="28">
        <v>14</v>
      </c>
    </row>
    <row r="688" spans="1:3" ht="12.75" hidden="1">
      <c r="A688" s="28">
        <v>581</v>
      </c>
      <c r="B688" s="28" t="s">
        <v>2924</v>
      </c>
      <c r="C688" s="28">
        <v>15</v>
      </c>
    </row>
    <row r="689" spans="1:3" ht="12.75" hidden="1">
      <c r="A689" s="28">
        <v>582</v>
      </c>
      <c r="B689" s="28" t="s">
        <v>554</v>
      </c>
      <c r="C689" s="28">
        <v>15</v>
      </c>
    </row>
    <row r="690" spans="1:3" ht="12.75" hidden="1">
      <c r="A690" s="28">
        <v>583</v>
      </c>
      <c r="B690" s="28" t="s">
        <v>2414</v>
      </c>
      <c r="C690" s="28">
        <v>16</v>
      </c>
    </row>
    <row r="691" spans="1:3" ht="12.75" hidden="1">
      <c r="A691" s="28">
        <v>584</v>
      </c>
      <c r="B691" s="28" t="s">
        <v>2923</v>
      </c>
      <c r="C691" s="28">
        <v>16</v>
      </c>
    </row>
    <row r="692" spans="1:3" ht="12.75" hidden="1">
      <c r="A692" s="28">
        <v>585</v>
      </c>
      <c r="B692" s="28" t="s">
        <v>1726</v>
      </c>
      <c r="C692" s="28">
        <v>17</v>
      </c>
    </row>
    <row r="693" spans="1:3" ht="12.75" hidden="1">
      <c r="A693" s="28">
        <v>586</v>
      </c>
      <c r="B693" s="28" t="s">
        <v>2233</v>
      </c>
      <c r="C693" s="28">
        <v>17</v>
      </c>
    </row>
    <row r="694" spans="1:3" ht="12.75" hidden="1">
      <c r="A694" s="28">
        <v>587</v>
      </c>
      <c r="B694" s="28" t="s">
        <v>2792</v>
      </c>
      <c r="C694" s="28">
        <v>17</v>
      </c>
    </row>
    <row r="695" spans="1:3" ht="12.75" hidden="1">
      <c r="A695" s="28">
        <v>588</v>
      </c>
      <c r="B695" s="28" t="s">
        <v>932</v>
      </c>
      <c r="C695" s="28">
        <v>17</v>
      </c>
    </row>
    <row r="696" spans="1:3" ht="12.75" hidden="1">
      <c r="A696" s="28">
        <v>589</v>
      </c>
      <c r="B696" s="28" t="s">
        <v>2888</v>
      </c>
      <c r="C696" s="28">
        <v>17</v>
      </c>
    </row>
    <row r="697" spans="1:3" ht="12.75" hidden="1">
      <c r="A697" s="28">
        <v>590</v>
      </c>
      <c r="B697" s="28" t="s">
        <v>2323</v>
      </c>
      <c r="C697" s="28">
        <v>17</v>
      </c>
    </row>
    <row r="698" spans="1:3" ht="12.75" hidden="1">
      <c r="A698" s="28">
        <v>591</v>
      </c>
      <c r="B698" s="28" t="s">
        <v>1316</v>
      </c>
      <c r="C698" s="28">
        <v>17</v>
      </c>
    </row>
    <row r="699" spans="1:3" ht="12.75" hidden="1">
      <c r="A699" s="28">
        <v>592</v>
      </c>
      <c r="B699" s="28" t="s">
        <v>2770</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2887</v>
      </c>
      <c r="C702" s="28">
        <v>18</v>
      </c>
    </row>
    <row r="703" spans="1:3" ht="12.75" hidden="1">
      <c r="A703" s="28">
        <v>597</v>
      </c>
      <c r="B703" s="28" t="s">
        <v>956</v>
      </c>
      <c r="C703" s="28">
        <v>18</v>
      </c>
    </row>
    <row r="704" spans="1:3" ht="12.75" hidden="1">
      <c r="A704" s="28">
        <v>598</v>
      </c>
      <c r="B704" s="28" t="s">
        <v>2706</v>
      </c>
      <c r="C704" s="28">
        <v>19</v>
      </c>
    </row>
    <row r="705" spans="1:3" ht="12.75" hidden="1">
      <c r="A705" s="28">
        <v>599</v>
      </c>
      <c r="B705" s="28" t="s">
        <v>1150</v>
      </c>
      <c r="C705" s="28">
        <v>19</v>
      </c>
    </row>
    <row r="706" spans="1:3" ht="12.75" hidden="1">
      <c r="A706" s="28">
        <v>600</v>
      </c>
      <c r="B706" s="28" t="s">
        <v>2748</v>
      </c>
      <c r="C706" s="28">
        <v>19</v>
      </c>
    </row>
    <row r="707" spans="1:3" ht="12.75" hidden="1">
      <c r="A707" s="28">
        <v>601</v>
      </c>
      <c r="B707" s="28" t="s">
        <v>910</v>
      </c>
      <c r="C707" s="28">
        <v>19</v>
      </c>
    </row>
    <row r="708" spans="1:3" ht="12.75" hidden="1">
      <c r="A708" s="28">
        <v>602</v>
      </c>
      <c r="B708" s="28" t="s">
        <v>2324</v>
      </c>
      <c r="C708" s="28">
        <v>19</v>
      </c>
    </row>
    <row r="709" spans="1:3" ht="12.75" hidden="1">
      <c r="A709" s="28">
        <v>603</v>
      </c>
      <c r="B709" s="28" t="s">
        <v>2768</v>
      </c>
      <c r="C709" s="28">
        <v>20</v>
      </c>
    </row>
    <row r="710" spans="1:3" ht="12.75" hidden="1">
      <c r="A710" s="28">
        <v>604</v>
      </c>
      <c r="B710" s="28" t="s">
        <v>2196</v>
      </c>
      <c r="C710" s="28">
        <v>20</v>
      </c>
    </row>
    <row r="711" spans="1:3" ht="12.75" hidden="1">
      <c r="A711" s="28">
        <v>605</v>
      </c>
      <c r="B711" s="28" t="s">
        <v>1230</v>
      </c>
      <c r="C711" s="28">
        <v>20</v>
      </c>
    </row>
    <row r="712" spans="1:3" ht="12.75" hidden="1">
      <c r="A712" s="28">
        <v>606</v>
      </c>
      <c r="B712" s="28" t="s">
        <v>2743</v>
      </c>
      <c r="C712" s="28">
        <v>20</v>
      </c>
    </row>
    <row r="713" spans="1:3" ht="12.75" hidden="1">
      <c r="A713" s="28">
        <v>607</v>
      </c>
      <c r="B713" s="28" t="s">
        <v>2773</v>
      </c>
      <c r="C713" s="28">
        <v>20</v>
      </c>
    </row>
    <row r="714" spans="1:3" ht="12.75" hidden="1">
      <c r="A714" s="28">
        <v>608</v>
      </c>
      <c r="B714" s="28" t="s">
        <v>2297</v>
      </c>
      <c r="C714" s="28">
        <v>20</v>
      </c>
    </row>
    <row r="715" spans="1:3" ht="12.75" hidden="1">
      <c r="A715" s="28">
        <v>609</v>
      </c>
      <c r="B715" s="28" t="s">
        <v>2947</v>
      </c>
      <c r="C715" s="28">
        <v>14</v>
      </c>
    </row>
    <row r="716" spans="1:3" ht="12.75" hidden="1">
      <c r="A716" s="28">
        <v>610</v>
      </c>
      <c r="B716" s="28" t="s">
        <v>2170</v>
      </c>
      <c r="C716" s="28">
        <v>16</v>
      </c>
    </row>
    <row r="717" spans="1:3" ht="12.75" hidden="1">
      <c r="A717" s="28">
        <v>612</v>
      </c>
      <c r="B717" s="28" t="s">
        <v>1376</v>
      </c>
      <c r="C717" s="28">
        <v>16</v>
      </c>
    </row>
    <row r="718" spans="1:3" ht="12.75" hidden="1">
      <c r="A718" s="28">
        <v>614</v>
      </c>
      <c r="B718" s="28" t="s">
        <v>2308</v>
      </c>
      <c r="C718" s="28">
        <v>14</v>
      </c>
    </row>
    <row r="719" spans="1:3" ht="12.75" hidden="1">
      <c r="A719" s="28">
        <v>616</v>
      </c>
      <c r="B719" s="28" t="s">
        <v>1151</v>
      </c>
      <c r="C719" s="28">
        <v>6</v>
      </c>
    </row>
    <row r="720" spans="1:3" ht="12.75" hidden="1">
      <c r="A720" s="28">
        <v>617</v>
      </c>
      <c r="B720" s="28" t="s">
        <v>2468</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2209</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2795</v>
      </c>
      <c r="C727" s="28">
        <v>8</v>
      </c>
    </row>
    <row r="728" spans="1:3" ht="12.75" hidden="1">
      <c r="A728" s="28">
        <v>625</v>
      </c>
      <c r="B728" s="28" t="s">
        <v>1152</v>
      </c>
      <c r="C728" s="28">
        <v>13</v>
      </c>
    </row>
    <row r="729" spans="1:3" ht="12.75" hidden="1">
      <c r="A729" s="28">
        <v>626</v>
      </c>
      <c r="B729" s="28" t="s">
        <v>2266</v>
      </c>
      <c r="C729" s="28">
        <v>15</v>
      </c>
    </row>
    <row r="730" spans="1:3" ht="12.75" hidden="1">
      <c r="A730" s="28">
        <v>628</v>
      </c>
      <c r="B730" s="28" t="s">
        <v>2469</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2579</v>
      </c>
      <c r="B736" s="28" t="s">
        <v>366</v>
      </c>
    </row>
    <row r="737" spans="1:2" ht="12.75" hidden="1">
      <c r="A737" s="28" t="s">
        <v>380</v>
      </c>
      <c r="B737" s="28" t="s">
        <v>367</v>
      </c>
    </row>
    <row r="738" spans="1:2" ht="12.75" hidden="1">
      <c r="A738" s="28" t="s">
        <v>2420</v>
      </c>
      <c r="B738" s="28" t="s">
        <v>2421</v>
      </c>
    </row>
    <row r="739" spans="1:2" ht="12.75" hidden="1">
      <c r="A739" s="28" t="s">
        <v>2422</v>
      </c>
      <c r="B739" s="28" t="s">
        <v>368</v>
      </c>
    </row>
    <row r="740" spans="1:2" ht="12.75" hidden="1">
      <c r="A740" s="28" t="s">
        <v>2423</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2606</v>
      </c>
    </row>
    <row r="751" spans="1:2" ht="12.75" hidden="1">
      <c r="A751" s="28" t="s">
        <v>2607</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2377</v>
      </c>
      <c r="B755" s="28" t="s">
        <v>2378</v>
      </c>
    </row>
    <row r="756" spans="1:2" ht="12.75" hidden="1">
      <c r="A756" s="28" t="s">
        <v>2379</v>
      </c>
      <c r="B756" s="28" t="s">
        <v>2380</v>
      </c>
    </row>
    <row r="757" spans="1:2" ht="12.75" hidden="1">
      <c r="A757" s="28" t="s">
        <v>2381</v>
      </c>
      <c r="B757" s="28" t="s">
        <v>2382</v>
      </c>
    </row>
    <row r="758" spans="1:2" ht="12.75" hidden="1">
      <c r="A758" s="28" t="s">
        <v>2383</v>
      </c>
      <c r="B758" s="28" t="s">
        <v>2384</v>
      </c>
    </row>
    <row r="759" spans="1:2" ht="12.75" hidden="1">
      <c r="A759" s="28" t="s">
        <v>2385</v>
      </c>
      <c r="B759" s="28" t="s">
        <v>2386</v>
      </c>
    </row>
    <row r="760" spans="1:2" ht="12.75" hidden="1">
      <c r="A760" s="28" t="s">
        <v>2387</v>
      </c>
      <c r="B760" s="28" t="s">
        <v>2388</v>
      </c>
    </row>
    <row r="761" spans="1:2" ht="12.75" hidden="1">
      <c r="A761" s="28" t="s">
        <v>2389</v>
      </c>
      <c r="B761" s="28" t="s">
        <v>2390</v>
      </c>
    </row>
    <row r="762" spans="1:2" ht="12.75" hidden="1">
      <c r="A762" s="28" t="s">
        <v>2391</v>
      </c>
      <c r="B762" s="28" t="s">
        <v>2392</v>
      </c>
    </row>
    <row r="763" spans="1:2" ht="12.75" hidden="1">
      <c r="A763" s="28" t="s">
        <v>2393</v>
      </c>
      <c r="B763" s="28" t="s">
        <v>2693</v>
      </c>
    </row>
    <row r="764" spans="1:2" ht="12.75" hidden="1">
      <c r="A764" s="28" t="s">
        <v>2694</v>
      </c>
      <c r="B764" s="28" t="s">
        <v>2695</v>
      </c>
    </row>
    <row r="765" spans="1:2" ht="12.75" hidden="1">
      <c r="A765" s="28" t="s">
        <v>2696</v>
      </c>
      <c r="B765" s="28" t="s">
        <v>633</v>
      </c>
    </row>
    <row r="766" spans="1:2" ht="12.75" hidden="1">
      <c r="A766" s="28" t="s">
        <v>2697</v>
      </c>
      <c r="B766" s="28" t="s">
        <v>2698</v>
      </c>
    </row>
    <row r="767" spans="1:2" ht="12.75" hidden="1">
      <c r="A767" s="28" t="s">
        <v>2699</v>
      </c>
      <c r="B767" s="28" t="s">
        <v>634</v>
      </c>
    </row>
    <row r="768" spans="1:2" ht="12.75" hidden="1">
      <c r="A768" s="28" t="s">
        <v>2700</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2689</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2271</v>
      </c>
    </row>
    <row r="801" spans="1:2" ht="12.75" hidden="1">
      <c r="A801" s="28" t="s">
        <v>2272</v>
      </c>
      <c r="B801" s="28" t="s">
        <v>2273</v>
      </c>
    </row>
    <row r="802" spans="1:2" ht="12.75" hidden="1">
      <c r="A802" s="28" t="s">
        <v>2274</v>
      </c>
      <c r="B802" s="28" t="s">
        <v>2275</v>
      </c>
    </row>
    <row r="803" spans="1:2" ht="12.75" hidden="1">
      <c r="A803" s="28" t="s">
        <v>2276</v>
      </c>
      <c r="B803" s="28" t="s">
        <v>2890</v>
      </c>
    </row>
    <row r="804" spans="1:2" ht="12.75" hidden="1">
      <c r="A804" s="28" t="s">
        <v>2891</v>
      </c>
      <c r="B804" s="28" t="s">
        <v>810</v>
      </c>
    </row>
    <row r="805" spans="1:2" ht="12.75" hidden="1">
      <c r="A805" s="28" t="s">
        <v>2892</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2539</v>
      </c>
      <c r="B813" s="28" t="s">
        <v>816</v>
      </c>
    </row>
    <row r="814" spans="1:2" ht="12.75" hidden="1">
      <c r="A814" s="28" t="s">
        <v>1599</v>
      </c>
      <c r="B814" s="28" t="s">
        <v>2690</v>
      </c>
    </row>
    <row r="815" spans="1:2" ht="12.75" hidden="1">
      <c r="A815" s="28" t="s">
        <v>2691</v>
      </c>
      <c r="B815" s="28" t="s">
        <v>817</v>
      </c>
    </row>
    <row r="816" spans="1:2" ht="12.75" hidden="1">
      <c r="A816" s="28" t="s">
        <v>2692</v>
      </c>
      <c r="B816" s="28" t="s">
        <v>2582</v>
      </c>
    </row>
    <row r="817" spans="1:2" ht="12.75" hidden="1">
      <c r="A817" s="28" t="s">
        <v>2278</v>
      </c>
      <c r="B817" s="28" t="s">
        <v>2279</v>
      </c>
    </row>
    <row r="818" spans="1:2" ht="12.75" hidden="1">
      <c r="A818" s="28" t="s">
        <v>2280</v>
      </c>
      <c r="B818" s="28" t="s">
        <v>2583</v>
      </c>
    </row>
    <row r="819" spans="1:2" ht="12.75" hidden="1">
      <c r="A819" s="28" t="s">
        <v>2281</v>
      </c>
      <c r="B819" s="28" t="s">
        <v>2584</v>
      </c>
    </row>
    <row r="820" spans="1:2" ht="12.75" hidden="1">
      <c r="A820" s="28" t="s">
        <v>2282</v>
      </c>
      <c r="B820" s="28" t="s">
        <v>2283</v>
      </c>
    </row>
    <row r="821" spans="1:2" ht="12.75" hidden="1">
      <c r="A821" s="28" t="s">
        <v>2284</v>
      </c>
      <c r="B821" s="28" t="s">
        <v>2285</v>
      </c>
    </row>
    <row r="822" spans="1:2" ht="12.75" hidden="1">
      <c r="A822" s="28" t="s">
        <v>2286</v>
      </c>
      <c r="B822" s="28" t="s">
        <v>1946</v>
      </c>
    </row>
    <row r="823" spans="1:2" ht="12.75" hidden="1">
      <c r="A823" s="28" t="s">
        <v>2287</v>
      </c>
      <c r="B823" s="28" t="s">
        <v>435</v>
      </c>
    </row>
    <row r="824" spans="1:2" ht="12.75" hidden="1">
      <c r="A824" s="28" t="s">
        <v>436</v>
      </c>
      <c r="B824" s="28" t="s">
        <v>437</v>
      </c>
    </row>
    <row r="825" spans="1:2" ht="12.75" hidden="1">
      <c r="A825" s="28" t="s">
        <v>2415</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2918</v>
      </c>
    </row>
    <row r="837" spans="1:2" ht="12.75" hidden="1">
      <c r="A837" s="28" t="s">
        <v>2919</v>
      </c>
      <c r="B837" s="28" t="s">
        <v>2920</v>
      </c>
    </row>
    <row r="838" spans="1:2" ht="12.75" hidden="1">
      <c r="A838" s="28" t="s">
        <v>2921</v>
      </c>
      <c r="B838" s="28" t="s">
        <v>336</v>
      </c>
    </row>
    <row r="839" spans="1:2" ht="12.75" hidden="1">
      <c r="A839" s="28" t="s">
        <v>2922</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2721</v>
      </c>
    </row>
    <row r="859" spans="1:2" ht="12.75" hidden="1">
      <c r="A859" s="28" t="s">
        <v>2722</v>
      </c>
      <c r="B859" s="28" t="s">
        <v>2723</v>
      </c>
    </row>
    <row r="860" spans="1:2" ht="12.75" hidden="1">
      <c r="A860" s="28" t="s">
        <v>2724</v>
      </c>
      <c r="B860" s="28" t="s">
        <v>2725</v>
      </c>
    </row>
    <row r="861" spans="1:2" ht="12.75" hidden="1">
      <c r="A861" s="28" t="s">
        <v>2726</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2363</v>
      </c>
      <c r="B873" s="28" t="s">
        <v>177</v>
      </c>
    </row>
    <row r="874" spans="1:2" ht="12.75" hidden="1">
      <c r="A874" s="28" t="s">
        <v>2364</v>
      </c>
      <c r="B874" s="28" t="s">
        <v>178</v>
      </c>
    </row>
    <row r="875" spans="1:2" ht="12.75" hidden="1">
      <c r="A875" s="28" t="s">
        <v>2365</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2398</v>
      </c>
    </row>
    <row r="896" spans="1:2" ht="12.75" hidden="1">
      <c r="A896" s="28" t="s">
        <v>2399</v>
      </c>
      <c r="B896" s="28" t="s">
        <v>1661</v>
      </c>
    </row>
    <row r="897" spans="1:2" ht="12.75" hidden="1">
      <c r="A897" s="28" t="s">
        <v>2400</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2855</v>
      </c>
      <c r="B914" s="28" t="s">
        <v>2856</v>
      </c>
    </row>
    <row r="915" spans="1:2" ht="12.75" hidden="1">
      <c r="A915" s="28" t="s">
        <v>2857</v>
      </c>
      <c r="B915" s="28" t="s">
        <v>2858</v>
      </c>
    </row>
    <row r="916" spans="1:2" ht="12.75" hidden="1">
      <c r="A916" s="28" t="s">
        <v>2859</v>
      </c>
      <c r="B916" s="28" t="s">
        <v>2860</v>
      </c>
    </row>
    <row r="917" spans="1:2" ht="12.75" hidden="1">
      <c r="A917" s="28" t="s">
        <v>2861</v>
      </c>
      <c r="B917" s="28" t="s">
        <v>2862</v>
      </c>
    </row>
    <row r="918" spans="1:2" ht="12.75" hidden="1">
      <c r="A918" s="28" t="s">
        <v>2863</v>
      </c>
      <c r="B918" s="28" t="s">
        <v>2864</v>
      </c>
    </row>
    <row r="919" spans="1:2" ht="12.75" hidden="1">
      <c r="A919" s="28" t="s">
        <v>2865</v>
      </c>
      <c r="B919" s="28" t="s">
        <v>2866</v>
      </c>
    </row>
    <row r="920" spans="1:2" ht="12.75" hidden="1">
      <c r="A920" s="28" t="s">
        <v>2867</v>
      </c>
      <c r="B920" s="28" t="s">
        <v>2868</v>
      </c>
    </row>
    <row r="921" spans="1:2" ht="12.75" hidden="1">
      <c r="A921" s="28" t="s">
        <v>2869</v>
      </c>
      <c r="B921" s="28" t="s">
        <v>2870</v>
      </c>
    </row>
    <row r="922" spans="1:2" ht="12.75" hidden="1">
      <c r="A922" s="28" t="s">
        <v>2871</v>
      </c>
      <c r="B922" s="28" t="s">
        <v>2872</v>
      </c>
    </row>
    <row r="923" spans="1:2" ht="12.75" hidden="1">
      <c r="A923" s="28" t="s">
        <v>2873</v>
      </c>
      <c r="B923" s="28" t="s">
        <v>2874</v>
      </c>
    </row>
    <row r="924" spans="1:2" ht="12.75" hidden="1">
      <c r="A924" s="28" t="s">
        <v>2875</v>
      </c>
      <c r="B924" s="28" t="s">
        <v>2876</v>
      </c>
    </row>
    <row r="925" spans="1:2" ht="12.75" hidden="1">
      <c r="A925" s="28" t="s">
        <v>2877</v>
      </c>
      <c r="B925" s="28" t="s">
        <v>2878</v>
      </c>
    </row>
    <row r="926" spans="1:2" ht="12.75" hidden="1">
      <c r="A926" s="28" t="s">
        <v>2879</v>
      </c>
      <c r="B926" s="28" t="s">
        <v>2401</v>
      </c>
    </row>
    <row r="927" spans="1:2" ht="12.75" hidden="1">
      <c r="A927" s="28" t="s">
        <v>2402</v>
      </c>
      <c r="B927" s="28" t="s">
        <v>2403</v>
      </c>
    </row>
    <row r="928" spans="1:2" ht="12.75" hidden="1">
      <c r="A928" s="28" t="s">
        <v>2404</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2622</v>
      </c>
    </row>
    <row r="938" spans="1:2" ht="12.75" hidden="1">
      <c r="A938" s="28" t="s">
        <v>2623</v>
      </c>
      <c r="B938" s="28" t="s">
        <v>2624</v>
      </c>
    </row>
    <row r="939" spans="1:2" ht="12.75" hidden="1">
      <c r="A939" s="28" t="s">
        <v>2625</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2577</v>
      </c>
      <c r="B960" s="28" t="s">
        <v>478</v>
      </c>
    </row>
    <row r="961" spans="1:2" ht="12.75" hidden="1">
      <c r="A961" s="28" t="s">
        <v>2578</v>
      </c>
      <c r="B961" s="28" t="s">
        <v>479</v>
      </c>
    </row>
    <row r="962" spans="1:2" ht="12.75" hidden="1">
      <c r="A962" s="28" t="s">
        <v>2198</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2316</v>
      </c>
      <c r="B974" s="28" t="s">
        <v>2317</v>
      </c>
    </row>
    <row r="975" spans="1:2" ht="12.75" hidden="1">
      <c r="A975" s="28" t="s">
        <v>2318</v>
      </c>
      <c r="B975" s="28" t="s">
        <v>488</v>
      </c>
    </row>
    <row r="976" spans="1:2" ht="12.75" hidden="1">
      <c r="A976" s="28" t="s">
        <v>2319</v>
      </c>
      <c r="B976" s="28" t="s">
        <v>245</v>
      </c>
    </row>
    <row r="977" spans="1:2" ht="12.75" hidden="1">
      <c r="A977" s="28" t="s">
        <v>2320</v>
      </c>
      <c r="B977" s="28" t="s">
        <v>246</v>
      </c>
    </row>
    <row r="978" spans="1:2" ht="12.75" hidden="1">
      <c r="A978" s="28" t="s">
        <v>644</v>
      </c>
      <c r="B978" s="28" t="s">
        <v>1235</v>
      </c>
    </row>
    <row r="979" spans="1:2" ht="12.75" hidden="1">
      <c r="A979" s="28" t="s">
        <v>1236</v>
      </c>
      <c r="B979" s="28" t="s">
        <v>659</v>
      </c>
    </row>
    <row r="980" spans="1:2" ht="12.75" hidden="1">
      <c r="A980" s="28" t="s">
        <v>660</v>
      </c>
      <c r="B980" s="28" t="s">
        <v>2416</v>
      </c>
    </row>
    <row r="981" spans="1:2" ht="12.75" hidden="1">
      <c r="A981" s="28" t="s">
        <v>2417</v>
      </c>
      <c r="B981" s="28" t="s">
        <v>247</v>
      </c>
    </row>
    <row r="982" spans="1:2" ht="12.75" hidden="1">
      <c r="A982" s="28" t="s">
        <v>2418</v>
      </c>
      <c r="B982" s="28" t="s">
        <v>248</v>
      </c>
    </row>
    <row r="983" spans="1:2" ht="12.75" hidden="1">
      <c r="A983" s="28" t="s">
        <v>1237</v>
      </c>
      <c r="B983" s="28" t="s">
        <v>249</v>
      </c>
    </row>
    <row r="984" spans="1:2" ht="12.75" hidden="1">
      <c r="A984" s="28" t="s">
        <v>1238</v>
      </c>
      <c r="B984" s="28" t="s">
        <v>2517</v>
      </c>
    </row>
    <row r="985" spans="1:2" ht="12.75" hidden="1">
      <c r="A985" s="28" t="s">
        <v>1239</v>
      </c>
      <c r="B985" s="28" t="s">
        <v>1240</v>
      </c>
    </row>
    <row r="986" spans="1:2" ht="12.75" hidden="1">
      <c r="A986" s="28" t="s">
        <v>1241</v>
      </c>
      <c r="B986" s="28" t="s">
        <v>2518</v>
      </c>
    </row>
    <row r="987" spans="1:2" ht="12.75" hidden="1">
      <c r="A987" s="28" t="s">
        <v>1242</v>
      </c>
      <c r="B987" s="28" t="s">
        <v>1243</v>
      </c>
    </row>
    <row r="988" spans="1:2" ht="12.75" hidden="1">
      <c r="A988" s="28" t="s">
        <v>2599</v>
      </c>
      <c r="B988" s="28" t="s">
        <v>2519</v>
      </c>
    </row>
    <row r="989" spans="1:2" ht="12.75" hidden="1">
      <c r="A989" s="28" t="s">
        <v>2600</v>
      </c>
      <c r="B989" s="28" t="s">
        <v>2520</v>
      </c>
    </row>
    <row r="990" spans="1:2" ht="12.75" hidden="1">
      <c r="A990" s="28" t="s">
        <v>2601</v>
      </c>
      <c r="B990" s="28" t="s">
        <v>2473</v>
      </c>
    </row>
    <row r="991" spans="1:2" ht="12.75" hidden="1">
      <c r="A991" s="28" t="s">
        <v>2602</v>
      </c>
      <c r="B991" s="28" t="s">
        <v>2603</v>
      </c>
    </row>
    <row r="992" spans="1:2" ht="12.75" hidden="1">
      <c r="A992" s="28" t="s">
        <v>2604</v>
      </c>
      <c r="B992" s="28" t="s">
        <v>2474</v>
      </c>
    </row>
    <row r="993" spans="1:2" ht="12.75" hidden="1">
      <c r="A993" s="28" t="s">
        <v>2605</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2475</v>
      </c>
    </row>
    <row r="1002" spans="1:2" ht="12.75" hidden="1">
      <c r="A1002" s="28" t="s">
        <v>2476</v>
      </c>
      <c r="B1002" s="28" t="s">
        <v>2477</v>
      </c>
    </row>
    <row r="1003" spans="1:2" ht="12.75" hidden="1">
      <c r="A1003" s="28" t="s">
        <v>2478</v>
      </c>
      <c r="B1003" s="28" t="s">
        <v>2479</v>
      </c>
    </row>
    <row r="1004" spans="1:2" ht="12.75" hidden="1">
      <c r="A1004" s="28" t="s">
        <v>2480</v>
      </c>
      <c r="B1004" s="28" t="s">
        <v>2481</v>
      </c>
    </row>
    <row r="1005" spans="1:2" ht="12.75" hidden="1">
      <c r="A1005" s="28" t="s">
        <v>2482</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2913</v>
      </c>
    </row>
    <row r="1020" spans="1:2" ht="12.75" hidden="1">
      <c r="A1020" s="28" t="s">
        <v>2914</v>
      </c>
      <c r="B1020" s="28" t="s">
        <v>1958</v>
      </c>
    </row>
    <row r="1021" spans="1:2" ht="12.75" hidden="1">
      <c r="A1021" s="28" t="s">
        <v>2915</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2448</v>
      </c>
    </row>
    <row r="1039" spans="1:2" ht="12.75" hidden="1">
      <c r="A1039" s="28" t="s">
        <v>2449</v>
      </c>
      <c r="B1039" s="28" t="s">
        <v>2450</v>
      </c>
    </row>
    <row r="1040" spans="1:2" ht="12.75" hidden="1">
      <c r="A1040" s="28" t="s">
        <v>2451</v>
      </c>
      <c r="B1040" s="28" t="s">
        <v>2452</v>
      </c>
    </row>
    <row r="1041" spans="1:2" ht="12.75" hidden="1">
      <c r="A1041" s="28" t="s">
        <v>2453</v>
      </c>
      <c r="B1041" s="28" t="s">
        <v>2189</v>
      </c>
    </row>
    <row r="1042" spans="1:2" ht="12.75" hidden="1">
      <c r="A1042" s="28" t="s">
        <v>2454</v>
      </c>
      <c r="B1042" s="28" t="s">
        <v>2455</v>
      </c>
    </row>
    <row r="1043" spans="1:2" ht="12.75" hidden="1">
      <c r="A1043" s="28" t="s">
        <v>2456</v>
      </c>
      <c r="B1043" s="28" t="s">
        <v>2457</v>
      </c>
    </row>
    <row r="1044" spans="1:2" ht="12.75" hidden="1">
      <c r="A1044" s="28" t="s">
        <v>2458</v>
      </c>
      <c r="B1044" s="28" t="s">
        <v>129</v>
      </c>
    </row>
    <row r="1045" spans="1:2" ht="12.75" hidden="1">
      <c r="A1045" s="28" t="s">
        <v>2459</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2226</v>
      </c>
    </row>
    <row r="1070" spans="1:2" ht="12.75" hidden="1">
      <c r="A1070" s="28" t="s">
        <v>2204</v>
      </c>
      <c r="B1070" s="28" t="s">
        <v>2227</v>
      </c>
    </row>
    <row r="1071" spans="1:2" ht="12.75" hidden="1">
      <c r="A1071" s="28" t="s">
        <v>2205</v>
      </c>
      <c r="B1071" s="28" t="s">
        <v>2228</v>
      </c>
    </row>
    <row r="1072" spans="1:2" ht="12.75" hidden="1">
      <c r="A1072" s="28" t="s">
        <v>669</v>
      </c>
      <c r="B1072" s="28" t="s">
        <v>2229</v>
      </c>
    </row>
    <row r="1073" spans="1:2" ht="12.75" hidden="1">
      <c r="A1073" s="28" t="s">
        <v>1718</v>
      </c>
      <c r="B1073" s="28" t="s">
        <v>2230</v>
      </c>
    </row>
    <row r="1074" spans="1:2" ht="12.75" hidden="1">
      <c r="A1074" s="28" t="s">
        <v>1719</v>
      </c>
      <c r="B1074" s="28" t="s">
        <v>2231</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2203</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2826</v>
      </c>
    </row>
    <row r="1097" spans="1:2" ht="12.75" hidden="1">
      <c r="A1097" s="28" t="s">
        <v>951</v>
      </c>
      <c r="B1097" s="28" t="s">
        <v>2827</v>
      </c>
    </row>
    <row r="1098" spans="1:2" ht="12.75" hidden="1">
      <c r="A1098" s="28" t="s">
        <v>952</v>
      </c>
      <c r="B1098" s="28" t="s">
        <v>2828</v>
      </c>
    </row>
    <row r="1099" spans="1:2" ht="12.75" hidden="1">
      <c r="A1099" s="28" t="s">
        <v>155</v>
      </c>
      <c r="B1099" s="28" t="s">
        <v>2829</v>
      </c>
    </row>
    <row r="1100" spans="1:2" ht="12.75" hidden="1">
      <c r="A1100" s="28" t="s">
        <v>664</v>
      </c>
      <c r="B1100" s="28" t="s">
        <v>1058</v>
      </c>
    </row>
    <row r="1101" spans="1:2" ht="12.75" hidden="1">
      <c r="A1101" s="28" t="s">
        <v>1059</v>
      </c>
      <c r="B1101" s="28" t="s">
        <v>2830</v>
      </c>
    </row>
    <row r="1102" spans="1:2" ht="12.75" hidden="1">
      <c r="A1102" s="28" t="s">
        <v>1060</v>
      </c>
      <c r="B1102" s="28" t="s">
        <v>2831</v>
      </c>
    </row>
    <row r="1103" spans="1:2" ht="12.75" hidden="1">
      <c r="A1103" s="28" t="s">
        <v>697</v>
      </c>
      <c r="B1103" s="28" t="s">
        <v>698</v>
      </c>
    </row>
    <row r="1104" spans="1:2" ht="12.75" hidden="1">
      <c r="A1104" s="28" t="s">
        <v>699</v>
      </c>
      <c r="B1104" s="28" t="s">
        <v>2832</v>
      </c>
    </row>
    <row r="1105" spans="1:2" ht="12.75" hidden="1">
      <c r="A1105" s="28" t="s">
        <v>700</v>
      </c>
      <c r="B1105" s="28" t="s">
        <v>2833</v>
      </c>
    </row>
    <row r="1106" spans="1:2" ht="12.75" hidden="1">
      <c r="A1106" s="28" t="s">
        <v>701</v>
      </c>
      <c r="B1106" s="28" t="s">
        <v>2834</v>
      </c>
    </row>
    <row r="1107" spans="1:2" ht="12.75" hidden="1">
      <c r="A1107" s="28" t="s">
        <v>702</v>
      </c>
      <c r="B1107" s="28" t="s">
        <v>2835</v>
      </c>
    </row>
    <row r="1108" spans="1:2" ht="12.75" hidden="1">
      <c r="A1108" s="28" t="s">
        <v>703</v>
      </c>
      <c r="B1108" s="28" t="s">
        <v>2836</v>
      </c>
    </row>
    <row r="1109" spans="1:2" ht="12.75" hidden="1">
      <c r="A1109" s="28" t="s">
        <v>704</v>
      </c>
      <c r="B1109" s="28" t="s">
        <v>2837</v>
      </c>
    </row>
    <row r="1110" spans="1:2" ht="12.75" hidden="1">
      <c r="A1110" s="28" t="s">
        <v>1368</v>
      </c>
      <c r="B1110" s="28" t="s">
        <v>1369</v>
      </c>
    </row>
    <row r="1111" spans="1:2" ht="12.75" hidden="1">
      <c r="A1111" s="28" t="s">
        <v>1370</v>
      </c>
      <c r="B1111" s="28" t="s">
        <v>2838</v>
      </c>
    </row>
    <row r="1112" spans="1:2" ht="12.75" hidden="1">
      <c r="A1112" s="28" t="s">
        <v>1371</v>
      </c>
      <c r="B1112" s="28" t="s">
        <v>1372</v>
      </c>
    </row>
    <row r="1113" spans="1:2" ht="12.75" hidden="1">
      <c r="A1113" s="28" t="s">
        <v>1373</v>
      </c>
      <c r="B1113" s="28" t="s">
        <v>1535</v>
      </c>
    </row>
    <row r="1114" spans="1:2" ht="12.75" hidden="1">
      <c r="A1114" s="28" t="s">
        <v>1536</v>
      </c>
      <c r="B1114" s="28" t="s">
        <v>2839</v>
      </c>
    </row>
    <row r="1115" spans="1:2" ht="12.75" hidden="1">
      <c r="A1115" s="28" t="s">
        <v>1537</v>
      </c>
      <c r="B1115" s="28" t="s">
        <v>2840</v>
      </c>
    </row>
    <row r="1116" spans="1:2" ht="12.75" hidden="1">
      <c r="A1116" s="28" t="s">
        <v>1538</v>
      </c>
      <c r="B1116" s="28" t="s">
        <v>2841</v>
      </c>
    </row>
    <row r="1117" spans="1:2" ht="12.75" hidden="1">
      <c r="A1117" s="28" t="s">
        <v>1621</v>
      </c>
      <c r="B1117" s="28" t="s">
        <v>2842</v>
      </c>
    </row>
    <row r="1118" spans="1:2" ht="12.75" hidden="1">
      <c r="A1118" s="28" t="s">
        <v>1622</v>
      </c>
      <c r="B1118" s="28" t="s">
        <v>2843</v>
      </c>
    </row>
    <row r="1119" spans="1:2" ht="12.75" hidden="1">
      <c r="A1119" s="28" t="s">
        <v>137</v>
      </c>
      <c r="B1119" s="28" t="s">
        <v>2844</v>
      </c>
    </row>
    <row r="1120" spans="1:2" ht="12.75" hidden="1">
      <c r="A1120" s="28" t="s">
        <v>108</v>
      </c>
      <c r="B1120" s="28" t="s">
        <v>2845</v>
      </c>
    </row>
    <row r="1121" spans="1:2" ht="12.75" hidden="1">
      <c r="A1121" s="28" t="s">
        <v>72</v>
      </c>
      <c r="B1121" s="28" t="s">
        <v>2846</v>
      </c>
    </row>
    <row r="1122" spans="1:2" ht="12.75" hidden="1">
      <c r="A1122" s="28" t="s">
        <v>73</v>
      </c>
      <c r="B1122" s="28" t="s">
        <v>2847</v>
      </c>
    </row>
    <row r="1123" spans="1:2" ht="12.75" hidden="1">
      <c r="A1123" s="28" t="s">
        <v>74</v>
      </c>
      <c r="B1123" s="28" t="s">
        <v>2848</v>
      </c>
    </row>
    <row r="1124" spans="1:2" ht="12.75" hidden="1">
      <c r="A1124" s="28" t="s">
        <v>75</v>
      </c>
      <c r="B1124" s="28" t="s">
        <v>2849</v>
      </c>
    </row>
    <row r="1125" spans="1:2" ht="12.75" hidden="1">
      <c r="A1125" s="28" t="s">
        <v>76</v>
      </c>
      <c r="B1125" s="28" t="s">
        <v>2850</v>
      </c>
    </row>
    <row r="1126" spans="1:2" ht="12.75" hidden="1">
      <c r="A1126" s="28" t="s">
        <v>77</v>
      </c>
      <c r="B1126" s="28" t="s">
        <v>2490</v>
      </c>
    </row>
    <row r="1127" spans="1:2" ht="12.75" hidden="1">
      <c r="A1127" s="28" t="s">
        <v>78</v>
      </c>
      <c r="B1127" s="28" t="s">
        <v>2491</v>
      </c>
    </row>
    <row r="1128" spans="1:2" ht="12.75" hidden="1">
      <c r="A1128" s="28" t="s">
        <v>954</v>
      </c>
      <c r="B1128" s="28" t="s">
        <v>2492</v>
      </c>
    </row>
    <row r="1129" spans="1:2" ht="12.75" hidden="1">
      <c r="A1129" s="28" t="s">
        <v>955</v>
      </c>
      <c r="B1129" s="28" t="s">
        <v>2493</v>
      </c>
    </row>
    <row r="1130" spans="1:2" ht="12.75" hidden="1">
      <c r="A1130" s="28" t="s">
        <v>1385</v>
      </c>
      <c r="B1130" s="28" t="s">
        <v>2494</v>
      </c>
    </row>
    <row r="1131" spans="1:2" ht="12.75" hidden="1">
      <c r="A1131" s="28" t="s">
        <v>2880</v>
      </c>
      <c r="B1131" s="28" t="s">
        <v>2495</v>
      </c>
    </row>
    <row r="1132" spans="1:2" ht="12.75" hidden="1">
      <c r="A1132" s="28" t="s">
        <v>524</v>
      </c>
      <c r="B1132" s="28" t="s">
        <v>2496</v>
      </c>
    </row>
    <row r="1133" spans="1:2" ht="12.75" hidden="1">
      <c r="A1133" s="28" t="s">
        <v>525</v>
      </c>
      <c r="B1133" s="28" t="s">
        <v>2497</v>
      </c>
    </row>
    <row r="1134" spans="1:2" ht="12.75" hidden="1">
      <c r="A1134" s="28" t="s">
        <v>2886</v>
      </c>
      <c r="B1134" s="28" t="s">
        <v>110</v>
      </c>
    </row>
    <row r="1135" spans="1:2" ht="12.75" hidden="1">
      <c r="A1135" s="28" t="s">
        <v>657</v>
      </c>
      <c r="B1135" s="28" t="s">
        <v>111</v>
      </c>
    </row>
    <row r="1136" spans="1:2" ht="12.75" hidden="1">
      <c r="A1136" s="28" t="s">
        <v>658</v>
      </c>
      <c r="B1136" s="28" t="s">
        <v>112</v>
      </c>
    </row>
    <row r="1137" spans="1:2" ht="12.75" hidden="1">
      <c r="A1137" s="28" t="s">
        <v>2311</v>
      </c>
      <c r="B1137" s="28" t="s">
        <v>2502</v>
      </c>
    </row>
    <row r="1138" spans="1:2" ht="12.75" hidden="1">
      <c r="A1138" s="28" t="s">
        <v>2312</v>
      </c>
      <c r="B1138" s="28" t="s">
        <v>2503</v>
      </c>
    </row>
    <row r="1139" spans="1:2" ht="12.75" hidden="1">
      <c r="A1139" s="28" t="s">
        <v>2313</v>
      </c>
      <c r="B1139" s="28" t="s">
        <v>2314</v>
      </c>
    </row>
    <row r="1140" spans="1:2" ht="12.75" hidden="1">
      <c r="A1140" s="28" t="s">
        <v>2315</v>
      </c>
      <c r="B1140" s="28" t="s">
        <v>2504</v>
      </c>
    </row>
    <row r="1141" spans="1:2" ht="12.75" hidden="1">
      <c r="A1141" s="28" t="s">
        <v>1364</v>
      </c>
      <c r="B1141" s="28" t="s">
        <v>2505</v>
      </c>
    </row>
    <row r="1142" spans="1:2" ht="12.75" hidden="1">
      <c r="A1142" s="28" t="s">
        <v>1365</v>
      </c>
      <c r="B1142" s="28" t="s">
        <v>2506</v>
      </c>
    </row>
    <row r="1143" spans="1:2" ht="12.75" hidden="1">
      <c r="A1143" s="28" t="s">
        <v>2708</v>
      </c>
      <c r="B1143" s="28" t="s">
        <v>2507</v>
      </c>
    </row>
    <row r="1144" spans="1:2" ht="12.75" hidden="1">
      <c r="A1144" s="28" t="s">
        <v>2709</v>
      </c>
      <c r="B1144" s="28" t="s">
        <v>2508</v>
      </c>
    </row>
    <row r="1145" spans="1:2" ht="12.75" hidden="1">
      <c r="A1145" s="28" t="s">
        <v>2710</v>
      </c>
      <c r="B1145" s="28" t="s">
        <v>2068</v>
      </c>
    </row>
    <row r="1146" spans="1:2" ht="12.75" hidden="1">
      <c r="A1146" s="28" t="s">
        <v>2711</v>
      </c>
      <c r="B1146" s="28" t="s">
        <v>2069</v>
      </c>
    </row>
    <row r="1147" spans="1:2" ht="12.75" hidden="1">
      <c r="A1147" s="28" t="s">
        <v>2712</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2140</v>
      </c>
    </row>
    <row r="1153" spans="1:2" ht="12.75" hidden="1">
      <c r="A1153" s="28" t="s">
        <v>2141</v>
      </c>
      <c r="B1153" s="28" t="s">
        <v>2075</v>
      </c>
    </row>
    <row r="1154" spans="1:2" ht="12.75" hidden="1">
      <c r="A1154" s="28" t="s">
        <v>2142</v>
      </c>
      <c r="B1154" s="28" t="s">
        <v>2143</v>
      </c>
    </row>
    <row r="1155" spans="1:2" ht="12.75" hidden="1">
      <c r="A1155" s="28" t="s">
        <v>2144</v>
      </c>
      <c r="B1155" s="28" t="s">
        <v>2145</v>
      </c>
    </row>
    <row r="1156" spans="1:2" ht="12.75" hidden="1">
      <c r="A1156" s="28" t="s">
        <v>2146</v>
      </c>
      <c r="B1156" s="28" t="s">
        <v>2147</v>
      </c>
    </row>
    <row r="1157" spans="1:2" ht="12.75" hidden="1">
      <c r="A1157" s="28" t="s">
        <v>2148</v>
      </c>
      <c r="B1157" s="28" t="s">
        <v>2149</v>
      </c>
    </row>
    <row r="1158" spans="1:2" ht="12.75" hidden="1">
      <c r="A1158" s="28" t="s">
        <v>2150</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2540</v>
      </c>
    </row>
    <row r="1180" spans="1:2" ht="12.75" hidden="1">
      <c r="A1180" s="28" t="s">
        <v>2541</v>
      </c>
      <c r="B1180" s="28" t="s">
        <v>2085</v>
      </c>
    </row>
    <row r="1181" spans="1:2" ht="12.75" hidden="1">
      <c r="A1181" s="28" t="s">
        <v>2542</v>
      </c>
      <c r="B1181" s="28" t="s">
        <v>2543</v>
      </c>
    </row>
    <row r="1182" spans="1:2" ht="12.75" hidden="1">
      <c r="A1182" s="28" t="s">
        <v>2544</v>
      </c>
      <c r="B1182" s="28" t="s">
        <v>2545</v>
      </c>
    </row>
    <row r="1183" spans="1:2" ht="12.75" hidden="1">
      <c r="A1183" s="28" t="s">
        <v>2546</v>
      </c>
      <c r="B1183" s="28" t="s">
        <v>2086</v>
      </c>
    </row>
    <row r="1184" spans="1:2" ht="12.75" hidden="1">
      <c r="A1184" s="28" t="s">
        <v>2547</v>
      </c>
      <c r="B1184" s="28" t="s">
        <v>2548</v>
      </c>
    </row>
    <row r="1185" spans="1:2" ht="12.75" hidden="1">
      <c r="A1185" s="28" t="s">
        <v>2549</v>
      </c>
      <c r="B1185" s="28" t="s">
        <v>2087</v>
      </c>
    </row>
    <row r="1186" spans="1:2" ht="12.75" hidden="1">
      <c r="A1186" s="28" t="s">
        <v>2550</v>
      </c>
      <c r="B1186" s="28" t="s">
        <v>2551</v>
      </c>
    </row>
    <row r="1187" spans="1:2" ht="12.75" hidden="1">
      <c r="A1187" s="28" t="s">
        <v>2552</v>
      </c>
      <c r="B1187" s="28" t="s">
        <v>2553</v>
      </c>
    </row>
    <row r="1188" spans="1:2" ht="12.75" hidden="1">
      <c r="A1188" s="28" t="s">
        <v>2554</v>
      </c>
      <c r="B1188" s="28" t="s">
        <v>2555</v>
      </c>
    </row>
    <row r="1189" spans="1:2" ht="12.75" hidden="1">
      <c r="A1189" s="28" t="s">
        <v>2556</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2232</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2206</v>
      </c>
    </row>
    <row r="1220" spans="1:2" ht="12.75" hidden="1">
      <c r="A1220" s="28" t="s">
        <v>2207</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2728</v>
      </c>
    </row>
    <row r="1229" spans="1:2" ht="12.75" hidden="1">
      <c r="A1229" s="28" t="s">
        <v>2729</v>
      </c>
      <c r="B1229" s="28" t="s">
        <v>322</v>
      </c>
    </row>
    <row r="1230" spans="1:2" ht="12.75" hidden="1">
      <c r="A1230" s="28" t="s">
        <v>2730</v>
      </c>
      <c r="B1230" s="28" t="s">
        <v>2731</v>
      </c>
    </row>
    <row r="1231" spans="1:2" ht="12.75" hidden="1">
      <c r="A1231" s="28" t="s">
        <v>2732</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2371</v>
      </c>
    </row>
    <row r="1238" spans="1:2" ht="12.75" hidden="1">
      <c r="A1238" s="28" t="s">
        <v>2372</v>
      </c>
      <c r="B1238" s="28" t="s">
        <v>327</v>
      </c>
    </row>
    <row r="1239" spans="1:2" ht="12.75" hidden="1">
      <c r="A1239" s="28" t="s">
        <v>2373</v>
      </c>
      <c r="B1239" s="28" t="s">
        <v>328</v>
      </c>
    </row>
    <row r="1240" spans="1:2" ht="12.75" hidden="1">
      <c r="A1240" s="28" t="s">
        <v>2374</v>
      </c>
      <c r="B1240" s="28" t="s">
        <v>327</v>
      </c>
    </row>
    <row r="1241" spans="1:2" ht="12.75" hidden="1">
      <c r="A1241" s="28" t="s">
        <v>2375</v>
      </c>
      <c r="B1241" s="28" t="s">
        <v>329</v>
      </c>
    </row>
    <row r="1242" spans="1:2" ht="12.75" hidden="1">
      <c r="A1242" s="28" t="s">
        <v>2376</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2642</v>
      </c>
    </row>
    <row r="1247" spans="1:2" ht="12.75" hidden="1">
      <c r="A1247" s="28" t="s">
        <v>1354</v>
      </c>
      <c r="B1247" s="28" t="s">
        <v>2160</v>
      </c>
    </row>
    <row r="1248" spans="1:2" ht="12.75" hidden="1">
      <c r="A1248" s="28" t="s">
        <v>1355</v>
      </c>
      <c r="B1248" s="28" t="s">
        <v>1519</v>
      </c>
    </row>
    <row r="1249" spans="1:2" ht="12.75" hidden="1">
      <c r="A1249" s="28" t="s">
        <v>1520</v>
      </c>
      <c r="B1249" s="28" t="s">
        <v>2161</v>
      </c>
    </row>
    <row r="1250" spans="1:2" ht="12.75" hidden="1">
      <c r="A1250" s="28" t="s">
        <v>1386</v>
      </c>
      <c r="B1250" s="28" t="s">
        <v>2161</v>
      </c>
    </row>
    <row r="1251" spans="1:2" ht="12.75" hidden="1">
      <c r="A1251" s="28" t="s">
        <v>1387</v>
      </c>
      <c r="B1251" s="28" t="s">
        <v>180</v>
      </c>
    </row>
    <row r="1252" spans="1:2" ht="12.75" hidden="1">
      <c r="A1252" s="28" t="s">
        <v>1388</v>
      </c>
      <c r="B1252" s="28" t="s">
        <v>1389</v>
      </c>
    </row>
    <row r="1253" spans="1:2" ht="12.75" hidden="1">
      <c r="A1253" s="28" t="s">
        <v>1390</v>
      </c>
      <c r="B1253" s="28" t="s">
        <v>2161</v>
      </c>
    </row>
    <row r="1254" spans="1:2" ht="12.75" hidden="1">
      <c r="A1254" s="28" t="s">
        <v>1710</v>
      </c>
      <c r="B1254" s="28" t="s">
        <v>2161</v>
      </c>
    </row>
    <row r="1255" spans="1:2" ht="12.75" hidden="1">
      <c r="A1255" s="28" t="s">
        <v>1711</v>
      </c>
      <c r="B1255" s="28" t="s">
        <v>2161</v>
      </c>
    </row>
    <row r="1256" spans="1:2" ht="12.75" hidden="1">
      <c r="A1256" s="28" t="s">
        <v>1391</v>
      </c>
      <c r="B1256" s="28" t="s">
        <v>2161</v>
      </c>
    </row>
    <row r="1257" spans="1:2" ht="12.75" hidden="1">
      <c r="A1257" s="28" t="s">
        <v>599</v>
      </c>
      <c r="B1257" s="28" t="s">
        <v>2161</v>
      </c>
    </row>
    <row r="1258" spans="1:2" ht="12.75" hidden="1">
      <c r="A1258" s="28" t="s">
        <v>2210</v>
      </c>
      <c r="B1258" s="28" t="s">
        <v>2161</v>
      </c>
    </row>
    <row r="1259" spans="1:2" ht="12.75" hidden="1">
      <c r="A1259" s="28" t="s">
        <v>2211</v>
      </c>
      <c r="B1259" s="28" t="s">
        <v>2161</v>
      </c>
    </row>
    <row r="1260" spans="1:2" ht="12.75" hidden="1">
      <c r="A1260" s="28" t="s">
        <v>2212</v>
      </c>
      <c r="B1260" s="28" t="s">
        <v>181</v>
      </c>
    </row>
    <row r="1261" spans="1:2" ht="12.75" hidden="1">
      <c r="A1261" s="28" t="s">
        <v>2213</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2702</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2881</v>
      </c>
      <c r="B1276" s="28" t="s">
        <v>1498</v>
      </c>
    </row>
    <row r="1277" spans="1:2" ht="12.75" hidden="1">
      <c r="A1277" s="28" t="s">
        <v>2882</v>
      </c>
      <c r="B1277" s="28" t="s">
        <v>2883</v>
      </c>
    </row>
    <row r="1278" spans="1:2" ht="12.75" hidden="1">
      <c r="A1278" s="28" t="s">
        <v>2884</v>
      </c>
      <c r="B1278" s="28" t="s">
        <v>1499</v>
      </c>
    </row>
    <row r="1279" spans="1:2" ht="12.75" hidden="1">
      <c r="A1279" s="28" t="s">
        <v>2885</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2329</v>
      </c>
    </row>
    <row r="1284" spans="1:2" ht="12.75" hidden="1">
      <c r="A1284" s="28" t="s">
        <v>581</v>
      </c>
      <c r="B1284" s="28" t="s">
        <v>2330</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2331</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2332</v>
      </c>
    </row>
    <row r="1296" spans="1:2" ht="12.75" hidden="1">
      <c r="A1296" s="28" t="s">
        <v>1629</v>
      </c>
      <c r="B1296" s="28" t="s">
        <v>1630</v>
      </c>
    </row>
    <row r="1297" spans="1:2" ht="12.75" hidden="1">
      <c r="A1297" s="28" t="s">
        <v>1631</v>
      </c>
      <c r="B1297" s="28" t="s">
        <v>610</v>
      </c>
    </row>
    <row r="1298" spans="1:2" ht="12.75" hidden="1">
      <c r="A1298" s="28" t="s">
        <v>2199</v>
      </c>
      <c r="B1298" s="28" t="s">
        <v>611</v>
      </c>
    </row>
    <row r="1299" spans="1:2" ht="12.75" hidden="1">
      <c r="A1299" s="28" t="s">
        <v>2200</v>
      </c>
      <c r="B1299" s="28" t="s">
        <v>2201</v>
      </c>
    </row>
    <row r="1300" spans="1:2" ht="12.75" hidden="1">
      <c r="A1300" s="28" t="s">
        <v>2202</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2483</v>
      </c>
      <c r="B1310" s="28" t="s">
        <v>2424</v>
      </c>
    </row>
    <row r="1311" spans="1:2" ht="12.75" hidden="1">
      <c r="A1311" s="28" t="s">
        <v>2608</v>
      </c>
      <c r="B1311" s="28" t="s">
        <v>2632</v>
      </c>
    </row>
    <row r="1312" spans="1:2" ht="12.75" hidden="1">
      <c r="A1312" s="28" t="s">
        <v>2609</v>
      </c>
      <c r="B1312" s="28" t="s">
        <v>2610</v>
      </c>
    </row>
    <row r="1313" spans="1:2" ht="12.75" hidden="1">
      <c r="A1313" s="28" t="s">
        <v>2611</v>
      </c>
      <c r="B1313" s="28" t="s">
        <v>2633</v>
      </c>
    </row>
    <row r="1314" spans="1:2" ht="12.75" hidden="1">
      <c r="A1314" s="28" t="s">
        <v>2612</v>
      </c>
      <c r="B1314" s="28" t="s">
        <v>2613</v>
      </c>
    </row>
    <row r="1315" spans="1:2" ht="12.75" hidden="1">
      <c r="A1315" s="28" t="s">
        <v>2614</v>
      </c>
      <c r="B1315" s="28" t="s">
        <v>2634</v>
      </c>
    </row>
    <row r="1316" spans="1:2" ht="12.75" hidden="1">
      <c r="A1316" s="28" t="s">
        <v>2615</v>
      </c>
      <c r="B1316" s="28" t="s">
        <v>2616</v>
      </c>
    </row>
    <row r="1317" spans="1:2" ht="12.75" hidden="1">
      <c r="A1317" s="28" t="s">
        <v>2617</v>
      </c>
      <c r="B1317" s="28" t="s">
        <v>2485</v>
      </c>
    </row>
    <row r="1318" spans="1:2" ht="12.75" hidden="1">
      <c r="A1318" s="28" t="s">
        <v>2486</v>
      </c>
      <c r="B1318" s="28" t="s">
        <v>2487</v>
      </c>
    </row>
    <row r="1319" spans="1:2" ht="12.75" hidden="1">
      <c r="A1319" s="28" t="s">
        <v>2488</v>
      </c>
      <c r="B1319" s="28" t="s">
        <v>2489</v>
      </c>
    </row>
    <row r="1320" spans="1:2" ht="12.75" hidden="1">
      <c r="A1320" s="28" t="s">
        <v>2010</v>
      </c>
      <c r="B1320" s="28" t="s">
        <v>2636</v>
      </c>
    </row>
    <row r="1321" spans="1:2" ht="12.75" hidden="1">
      <c r="A1321" s="28" t="s">
        <v>2484</v>
      </c>
      <c r="B1321" s="28" t="s">
        <v>2245</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2246</v>
      </c>
    </row>
    <row r="1329" spans="1:2" ht="12.75" hidden="1">
      <c r="A1329" s="28" t="s">
        <v>2701</v>
      </c>
      <c r="B1329" s="28" t="s">
        <v>2247</v>
      </c>
    </row>
    <row r="1330" spans="1:2" ht="12.75" hidden="1">
      <c r="A1330" s="28" t="s">
        <v>2177</v>
      </c>
      <c r="B1330" s="28" t="s">
        <v>2248</v>
      </c>
    </row>
    <row r="1331" spans="1:2" ht="12.75" hidden="1">
      <c r="A1331" s="28" t="s">
        <v>2178</v>
      </c>
      <c r="B1331" s="28" t="s">
        <v>2179</v>
      </c>
    </row>
    <row r="1332" spans="1:2" ht="12.75" hidden="1">
      <c r="A1332" s="28" t="s">
        <v>2180</v>
      </c>
      <c r="B1332" s="28" t="s">
        <v>2181</v>
      </c>
    </row>
    <row r="1333" spans="1:2" ht="12.75" hidden="1">
      <c r="A1333" s="28" t="s">
        <v>903</v>
      </c>
      <c r="B1333" s="28" t="s">
        <v>904</v>
      </c>
    </row>
    <row r="1334" spans="1:2" ht="12.75" hidden="1">
      <c r="A1334" s="28" t="s">
        <v>905</v>
      </c>
      <c r="B1334" s="28" t="s">
        <v>2249</v>
      </c>
    </row>
    <row r="1335" spans="1:2" ht="12.75" hidden="1">
      <c r="A1335" s="28" t="s">
        <v>906</v>
      </c>
      <c r="B1335" s="28" t="s">
        <v>1601</v>
      </c>
    </row>
    <row r="1336" spans="1:2" ht="12.75" hidden="1">
      <c r="A1336" s="28" t="s">
        <v>1602</v>
      </c>
      <c r="B1336" s="28" t="s">
        <v>1603</v>
      </c>
    </row>
    <row r="1337" spans="1:2" ht="12.75" hidden="1">
      <c r="A1337" s="28" t="s">
        <v>1604</v>
      </c>
      <c r="B1337" s="28" t="s">
        <v>2250</v>
      </c>
    </row>
    <row r="1338" spans="1:2" ht="12.75" hidden="1">
      <c r="A1338" s="28" t="s">
        <v>1605</v>
      </c>
      <c r="B1338" s="28" t="s">
        <v>2251</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2252</v>
      </c>
    </row>
    <row r="1343" spans="1:2" ht="12.75" hidden="1">
      <c r="A1343" s="28" t="s">
        <v>86</v>
      </c>
      <c r="B1343" s="28" t="s">
        <v>2253</v>
      </c>
    </row>
    <row r="1344" spans="1:2" ht="12.75" hidden="1">
      <c r="A1344" s="28" t="s">
        <v>2288</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2802</v>
      </c>
    </row>
    <row r="1402" spans="1:2" ht="12.75" hidden="1">
      <c r="A1402" s="28">
        <v>166</v>
      </c>
      <c r="B1402" s="28" t="s">
        <v>2803</v>
      </c>
    </row>
    <row r="1403" spans="1:2" ht="12.75" hidden="1">
      <c r="A1403" s="28">
        <v>170</v>
      </c>
      <c r="B1403" s="28" t="s">
        <v>2804</v>
      </c>
    </row>
    <row r="1404" spans="1:2" ht="12.75" hidden="1">
      <c r="A1404" s="28">
        <v>174</v>
      </c>
      <c r="B1404" s="28" t="s">
        <v>2805</v>
      </c>
    </row>
    <row r="1405" spans="1:2" ht="12.75" hidden="1">
      <c r="A1405" s="28">
        <v>175</v>
      </c>
      <c r="B1405" s="28" t="s">
        <v>2806</v>
      </c>
    </row>
    <row r="1406" spans="1:2" ht="12.75" hidden="1">
      <c r="A1406" s="28">
        <v>178</v>
      </c>
      <c r="B1406" s="28" t="s">
        <v>2807</v>
      </c>
    </row>
    <row r="1407" spans="1:2" ht="12.75" hidden="1">
      <c r="A1407" s="28">
        <v>180</v>
      </c>
      <c r="B1407" s="28" t="s">
        <v>2808</v>
      </c>
    </row>
    <row r="1408" spans="1:2" ht="12.75" hidden="1">
      <c r="A1408" s="28">
        <v>184</v>
      </c>
      <c r="B1408" s="28" t="s">
        <v>2809</v>
      </c>
    </row>
    <row r="1409" spans="1:2" ht="12.75" hidden="1">
      <c r="A1409" s="28">
        <v>188</v>
      </c>
      <c r="B1409" s="28" t="s">
        <v>2810</v>
      </c>
    </row>
    <row r="1410" spans="1:2" ht="12.75" hidden="1">
      <c r="A1410" s="28">
        <v>192</v>
      </c>
      <c r="B1410" s="28" t="s">
        <v>2811</v>
      </c>
    </row>
    <row r="1411" spans="1:2" ht="12.75" hidden="1">
      <c r="A1411" s="28">
        <v>196</v>
      </c>
      <c r="B1411" s="28" t="s">
        <v>2812</v>
      </c>
    </row>
    <row r="1412" spans="1:2" ht="12.75" hidden="1">
      <c r="A1412" s="28">
        <v>203</v>
      </c>
      <c r="B1412" s="28" t="s">
        <v>2813</v>
      </c>
    </row>
    <row r="1413" spans="1:2" ht="12.75" hidden="1">
      <c r="A1413" s="28">
        <v>204</v>
      </c>
      <c r="B1413" s="28" t="s">
        <v>2814</v>
      </c>
    </row>
    <row r="1414" spans="1:2" ht="12.75" hidden="1">
      <c r="A1414" s="28">
        <v>208</v>
      </c>
      <c r="B1414" s="28" t="s">
        <v>2815</v>
      </c>
    </row>
    <row r="1415" spans="1:2" ht="12.75" hidden="1">
      <c r="A1415" s="28">
        <v>212</v>
      </c>
      <c r="B1415" s="28" t="s">
        <v>2816</v>
      </c>
    </row>
    <row r="1416" spans="1:2" ht="12.75" hidden="1">
      <c r="A1416" s="28">
        <v>214</v>
      </c>
      <c r="B1416" s="28" t="s">
        <v>2817</v>
      </c>
    </row>
    <row r="1417" spans="1:2" ht="12.75" hidden="1">
      <c r="A1417" s="28">
        <v>218</v>
      </c>
      <c r="B1417" s="28" t="s">
        <v>2818</v>
      </c>
    </row>
    <row r="1418" spans="1:2" ht="12.75" hidden="1">
      <c r="A1418" s="28">
        <v>222</v>
      </c>
      <c r="B1418" s="28" t="s">
        <v>2819</v>
      </c>
    </row>
    <row r="1419" spans="1:2" ht="12.75" hidden="1">
      <c r="A1419" s="28">
        <v>226</v>
      </c>
      <c r="B1419" s="28" t="s">
        <v>2820</v>
      </c>
    </row>
    <row r="1420" spans="1:2" ht="12.75" hidden="1">
      <c r="A1420" s="28">
        <v>231</v>
      </c>
      <c r="B1420" s="28" t="s">
        <v>2821</v>
      </c>
    </row>
    <row r="1421" spans="1:2" ht="12.75" hidden="1">
      <c r="A1421" s="28">
        <v>232</v>
      </c>
      <c r="B1421" s="28" t="s">
        <v>2822</v>
      </c>
    </row>
    <row r="1422" spans="1:2" ht="12.75" hidden="1">
      <c r="A1422" s="28">
        <v>233</v>
      </c>
      <c r="B1422" s="28" t="s">
        <v>2823</v>
      </c>
    </row>
    <row r="1423" spans="1:2" ht="12.75" hidden="1">
      <c r="A1423" s="28">
        <v>234</v>
      </c>
      <c r="B1423" s="28" t="s">
        <v>2824</v>
      </c>
    </row>
    <row r="1424" spans="1:2" ht="12.75" hidden="1">
      <c r="A1424" s="28">
        <v>238</v>
      </c>
      <c r="B1424" s="28" t="s">
        <v>2825</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2658</v>
      </c>
    </row>
    <row r="1482" spans="1:2" ht="12.75" hidden="1">
      <c r="A1482" s="28">
        <v>442</v>
      </c>
      <c r="B1482" s="28" t="s">
        <v>2659</v>
      </c>
    </row>
    <row r="1483" spans="1:2" ht="12.75" hidden="1">
      <c r="A1483" s="28">
        <v>446</v>
      </c>
      <c r="B1483" s="28" t="s">
        <v>2660</v>
      </c>
    </row>
    <row r="1484" spans="1:2" ht="12.75" hidden="1">
      <c r="A1484" s="28">
        <v>450</v>
      </c>
      <c r="B1484" s="28" t="s">
        <v>2661</v>
      </c>
    </row>
    <row r="1485" spans="1:2" ht="12.75" hidden="1">
      <c r="A1485" s="28">
        <v>454</v>
      </c>
      <c r="B1485" s="28" t="s">
        <v>2662</v>
      </c>
    </row>
    <row r="1486" spans="1:2" ht="12.75" hidden="1">
      <c r="A1486" s="28">
        <v>458</v>
      </c>
      <c r="B1486" s="28" t="s">
        <v>2663</v>
      </c>
    </row>
    <row r="1487" spans="1:2" ht="12.75" hidden="1">
      <c r="A1487" s="28">
        <v>462</v>
      </c>
      <c r="B1487" s="28" t="s">
        <v>2664</v>
      </c>
    </row>
    <row r="1488" spans="1:2" ht="12.75" hidden="1">
      <c r="A1488" s="28">
        <v>466</v>
      </c>
      <c r="B1488" s="28" t="s">
        <v>2665</v>
      </c>
    </row>
    <row r="1489" spans="1:2" ht="12.75" hidden="1">
      <c r="A1489" s="28">
        <v>470</v>
      </c>
      <c r="B1489" s="28" t="s">
        <v>2666</v>
      </c>
    </row>
    <row r="1490" spans="1:2" ht="12.75" hidden="1">
      <c r="A1490" s="28">
        <v>474</v>
      </c>
      <c r="B1490" s="28" t="s">
        <v>2667</v>
      </c>
    </row>
    <row r="1491" spans="1:2" ht="12.75" hidden="1">
      <c r="A1491" s="28">
        <v>478</v>
      </c>
      <c r="B1491" s="28" t="s">
        <v>2668</v>
      </c>
    </row>
    <row r="1492" spans="1:2" ht="12.75" hidden="1">
      <c r="A1492" s="28">
        <v>480</v>
      </c>
      <c r="B1492" s="28" t="s">
        <v>2669</v>
      </c>
    </row>
    <row r="1493" spans="1:2" ht="12.75" hidden="1">
      <c r="A1493" s="28">
        <v>484</v>
      </c>
      <c r="B1493" s="28" t="s">
        <v>2670</v>
      </c>
    </row>
    <row r="1494" spans="1:2" ht="12.75" hidden="1">
      <c r="A1494" s="28">
        <v>492</v>
      </c>
      <c r="B1494" s="28" t="s">
        <v>2671</v>
      </c>
    </row>
    <row r="1495" spans="1:2" ht="12.75" hidden="1">
      <c r="A1495" s="28">
        <v>496</v>
      </c>
      <c r="B1495" s="28" t="s">
        <v>2672</v>
      </c>
    </row>
    <row r="1496" spans="1:2" ht="12.75" hidden="1">
      <c r="A1496" s="28">
        <v>498</v>
      </c>
      <c r="B1496" s="28" t="s">
        <v>2673</v>
      </c>
    </row>
    <row r="1497" spans="1:2" ht="12.75" hidden="1">
      <c r="A1497" s="28">
        <v>499</v>
      </c>
      <c r="B1497" s="28" t="s">
        <v>2674</v>
      </c>
    </row>
    <row r="1498" spans="1:2" ht="12.75" hidden="1">
      <c r="A1498" s="28">
        <v>500</v>
      </c>
      <c r="B1498" s="28" t="s">
        <v>2675</v>
      </c>
    </row>
    <row r="1499" spans="1:2" ht="12.75" hidden="1">
      <c r="A1499" s="28">
        <v>504</v>
      </c>
      <c r="B1499" s="28" t="s">
        <v>2676</v>
      </c>
    </row>
    <row r="1500" spans="1:2" ht="12.75" hidden="1">
      <c r="A1500" s="28">
        <v>508</v>
      </c>
      <c r="B1500" s="28" t="s">
        <v>2677</v>
      </c>
    </row>
    <row r="1501" spans="1:2" ht="12.75" hidden="1">
      <c r="A1501" s="28">
        <v>512</v>
      </c>
      <c r="B1501" s="28" t="s">
        <v>2678</v>
      </c>
    </row>
    <row r="1502" spans="1:2" ht="12.75" hidden="1">
      <c r="A1502" s="28">
        <v>516</v>
      </c>
      <c r="B1502" s="28" t="s">
        <v>2679</v>
      </c>
    </row>
    <row r="1503" spans="1:2" ht="12.75" hidden="1">
      <c r="A1503" s="28">
        <v>520</v>
      </c>
      <c r="B1503" s="28" t="s">
        <v>2680</v>
      </c>
    </row>
    <row r="1504" spans="1:2" ht="12.75" hidden="1">
      <c r="A1504" s="28">
        <v>524</v>
      </c>
      <c r="B1504" s="28" t="s">
        <v>2681</v>
      </c>
    </row>
    <row r="1505" spans="1:2" ht="12.75" hidden="1">
      <c r="A1505" s="28">
        <v>528</v>
      </c>
      <c r="B1505" s="28" t="s">
        <v>2682</v>
      </c>
    </row>
    <row r="1506" spans="1:2" ht="12.75" hidden="1">
      <c r="A1506" s="28">
        <v>531</v>
      </c>
      <c r="B1506" s="28" t="s">
        <v>2683</v>
      </c>
    </row>
    <row r="1507" spans="1:2" ht="12.75" hidden="1">
      <c r="A1507" s="28">
        <v>533</v>
      </c>
      <c r="B1507" s="28" t="s">
        <v>2684</v>
      </c>
    </row>
    <row r="1508" spans="1:2" ht="12.75" hidden="1">
      <c r="A1508" s="28">
        <v>534</v>
      </c>
      <c r="B1508" s="28" t="s">
        <v>2685</v>
      </c>
    </row>
    <row r="1509" spans="1:2" ht="12.75" hidden="1">
      <c r="A1509" s="28">
        <v>535</v>
      </c>
      <c r="B1509" s="28" t="s">
        <v>2686</v>
      </c>
    </row>
    <row r="1510" spans="1:2" ht="12.75" hidden="1">
      <c r="A1510" s="28">
        <v>540</v>
      </c>
      <c r="B1510" s="28" t="s">
        <v>2687</v>
      </c>
    </row>
    <row r="1511" spans="1:2" ht="12.75" hidden="1">
      <c r="A1511" s="28">
        <v>548</v>
      </c>
      <c r="B1511" s="28" t="s">
        <v>2688</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04" activePane="bottomLeft" state="frozen"/>
      <selection pane="topLeft" activeCell="A1" sqref="A1"/>
      <selection pane="bottomLeft" activeCell="J132" sqref="J132"/>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1</v>
      </c>
      <c r="R1" s="73" t="s">
        <v>539</v>
      </c>
    </row>
    <row r="2" spans="1:18" ht="19.5" customHeight="1">
      <c r="A2" s="387" t="s">
        <v>138</v>
      </c>
      <c r="B2" s="388"/>
      <c r="C2" s="388"/>
      <c r="D2" s="388"/>
      <c r="E2" s="388"/>
      <c r="F2" s="388"/>
      <c r="G2" s="388"/>
      <c r="H2" s="388"/>
      <c r="I2" s="389"/>
      <c r="J2" s="385" t="s">
        <v>2589</v>
      </c>
      <c r="Q2" s="74">
        <f>IF(OR(MIN(I9:I133)&lt;0,MAX(I9:I133)&gt;0),1,0)</f>
        <v>1</v>
      </c>
      <c r="R2" s="73" t="s">
        <v>2585</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2586</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89406825003; VODOVOD D.O.O.</v>
      </c>
      <c r="B5" s="394"/>
      <c r="C5" s="394"/>
      <c r="D5" s="394"/>
      <c r="E5" s="394"/>
      <c r="F5" s="394"/>
      <c r="G5" s="394"/>
      <c r="H5" s="394"/>
      <c r="I5" s="394"/>
      <c r="J5" s="395"/>
      <c r="Q5" s="2">
        <f>IF(I96&lt;&gt;0,1,0)</f>
        <v>0</v>
      </c>
      <c r="R5" s="73" t="s">
        <v>2587</v>
      </c>
    </row>
    <row r="6" spans="1:18" ht="24.75" customHeight="1" thickBot="1">
      <c r="A6" s="396" t="s">
        <v>719</v>
      </c>
      <c r="B6" s="397"/>
      <c r="C6" s="397"/>
      <c r="D6" s="397"/>
      <c r="E6" s="397"/>
      <c r="F6" s="397"/>
      <c r="G6" s="102" t="s">
        <v>799</v>
      </c>
      <c r="H6" s="102" t="s">
        <v>1968</v>
      </c>
      <c r="I6" s="102" t="s">
        <v>2291</v>
      </c>
      <c r="J6" s="103" t="s">
        <v>2292</v>
      </c>
      <c r="Q6" s="2">
        <f>IF(J96&lt;&gt;0,1,0)</f>
        <v>0</v>
      </c>
      <c r="R6" s="73" t="s">
        <v>2588</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502055453</v>
      </c>
      <c r="J10" s="70">
        <f>J11+J18+J28+J39+J44</f>
        <v>509360819</v>
      </c>
    </row>
    <row r="11" spans="1:10" ht="13.5" customHeight="1">
      <c r="A11" s="382" t="s">
        <v>1850</v>
      </c>
      <c r="B11" s="382"/>
      <c r="C11" s="382"/>
      <c r="D11" s="382"/>
      <c r="E11" s="382"/>
      <c r="F11" s="382"/>
      <c r="G11" s="19">
        <v>3</v>
      </c>
      <c r="H11" s="20"/>
      <c r="I11" s="70">
        <f>SUM(I12:I17)</f>
        <v>589632</v>
      </c>
      <c r="J11" s="70">
        <f>SUM(J12:J17)</f>
        <v>1178867</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v>216988</v>
      </c>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v>589632</v>
      </c>
      <c r="J17" s="71">
        <v>961879</v>
      </c>
    </row>
    <row r="18" spans="1:10" ht="13.5" customHeight="1">
      <c r="A18" s="382" t="s">
        <v>731</v>
      </c>
      <c r="B18" s="382"/>
      <c r="C18" s="382"/>
      <c r="D18" s="382"/>
      <c r="E18" s="382"/>
      <c r="F18" s="382"/>
      <c r="G18" s="19">
        <v>10</v>
      </c>
      <c r="H18" s="20" t="s">
        <v>2967</v>
      </c>
      <c r="I18" s="70">
        <f>SUM(I19:I27)</f>
        <v>491776954</v>
      </c>
      <c r="J18" s="70">
        <f>SUM(J19:J27)</f>
        <v>499639761</v>
      </c>
    </row>
    <row r="19" spans="1:10" ht="13.5" customHeight="1">
      <c r="A19" s="381" t="s">
        <v>2175</v>
      </c>
      <c r="B19" s="381"/>
      <c r="C19" s="381"/>
      <c r="D19" s="381"/>
      <c r="E19" s="381"/>
      <c r="F19" s="381"/>
      <c r="G19" s="19">
        <v>11</v>
      </c>
      <c r="H19" s="20"/>
      <c r="I19" s="71">
        <v>48830245</v>
      </c>
      <c r="J19" s="71">
        <v>48830245</v>
      </c>
    </row>
    <row r="20" spans="1:10" ht="13.5" customHeight="1">
      <c r="A20" s="381" t="s">
        <v>543</v>
      </c>
      <c r="B20" s="381"/>
      <c r="C20" s="381"/>
      <c r="D20" s="381"/>
      <c r="E20" s="381"/>
      <c r="F20" s="381"/>
      <c r="G20" s="19">
        <v>12</v>
      </c>
      <c r="H20" s="20"/>
      <c r="I20" s="71">
        <v>413320453</v>
      </c>
      <c r="J20" s="71">
        <v>411441989</v>
      </c>
    </row>
    <row r="21" spans="1:10" ht="13.5" customHeight="1">
      <c r="A21" s="381" t="s">
        <v>2176</v>
      </c>
      <c r="B21" s="381"/>
      <c r="C21" s="381"/>
      <c r="D21" s="381"/>
      <c r="E21" s="381"/>
      <c r="F21" s="381"/>
      <c r="G21" s="19">
        <v>13</v>
      </c>
      <c r="H21" s="20"/>
      <c r="I21" s="71">
        <v>18700767</v>
      </c>
      <c r="J21" s="71">
        <v>20300728</v>
      </c>
    </row>
    <row r="22" spans="1:10" ht="13.5" customHeight="1">
      <c r="A22" s="381" t="s">
        <v>2289</v>
      </c>
      <c r="B22" s="381"/>
      <c r="C22" s="381"/>
      <c r="D22" s="381"/>
      <c r="E22" s="381"/>
      <c r="F22" s="381"/>
      <c r="G22" s="19">
        <v>14</v>
      </c>
      <c r="H22" s="20"/>
      <c r="I22" s="71">
        <v>1422402</v>
      </c>
      <c r="J22" s="71">
        <v>1298342</v>
      </c>
    </row>
    <row r="23" spans="1:10" ht="13.5" customHeight="1">
      <c r="A23" s="381" t="s">
        <v>2290</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t="s">
        <v>2967</v>
      </c>
      <c r="I25" s="71">
        <v>9503087</v>
      </c>
      <c r="J25" s="71">
        <v>17768457</v>
      </c>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2643</v>
      </c>
      <c r="B28" s="382"/>
      <c r="C28" s="382"/>
      <c r="D28" s="382"/>
      <c r="E28" s="382"/>
      <c r="F28" s="382"/>
      <c r="G28" s="19">
        <v>20</v>
      </c>
      <c r="H28" s="20"/>
      <c r="I28" s="70">
        <f>SUM(I29:I38)</f>
        <v>407728</v>
      </c>
      <c r="J28" s="70">
        <f>SUM(J29:J38)</f>
        <v>429537</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t="s">
        <v>2968</v>
      </c>
      <c r="I35" s="71">
        <v>407728</v>
      </c>
      <c r="J35" s="71">
        <v>429537</v>
      </c>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2644</v>
      </c>
      <c r="B39" s="382"/>
      <c r="C39" s="382"/>
      <c r="D39" s="382"/>
      <c r="E39" s="382"/>
      <c r="F39" s="382"/>
      <c r="G39" s="19">
        <v>31</v>
      </c>
      <c r="H39" s="20"/>
      <c r="I39" s="70">
        <f>SUM(I40:I43)</f>
        <v>9281139</v>
      </c>
      <c r="J39" s="70">
        <f>SUM(J40:J43)</f>
        <v>8112654</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t="s">
        <v>2969</v>
      </c>
      <c r="I42" s="71">
        <v>9281139</v>
      </c>
      <c r="J42" s="71">
        <v>8112654</v>
      </c>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2645</v>
      </c>
      <c r="B45" s="383"/>
      <c r="C45" s="383"/>
      <c r="D45" s="383"/>
      <c r="E45" s="383"/>
      <c r="F45" s="383"/>
      <c r="G45" s="19">
        <v>37</v>
      </c>
      <c r="H45" s="20"/>
      <c r="I45" s="70">
        <f>I46+I54+I61+I71</f>
        <v>56898790</v>
      </c>
      <c r="J45" s="70">
        <f>J46+J54+J61+J71</f>
        <v>55705685</v>
      </c>
    </row>
    <row r="46" spans="1:10" ht="13.5" customHeight="1">
      <c r="A46" s="382" t="s">
        <v>2646</v>
      </c>
      <c r="B46" s="382"/>
      <c r="C46" s="382"/>
      <c r="D46" s="382"/>
      <c r="E46" s="382"/>
      <c r="F46" s="382"/>
      <c r="G46" s="19">
        <v>38</v>
      </c>
      <c r="H46" s="20"/>
      <c r="I46" s="70">
        <f>SUM(I47:I53)</f>
        <v>7277336</v>
      </c>
      <c r="J46" s="70">
        <f>SUM(J47:J53)</f>
        <v>7667030</v>
      </c>
    </row>
    <row r="47" spans="1:10" ht="13.5" customHeight="1">
      <c r="A47" s="381" t="s">
        <v>970</v>
      </c>
      <c r="B47" s="381"/>
      <c r="C47" s="381"/>
      <c r="D47" s="381"/>
      <c r="E47" s="381"/>
      <c r="F47" s="381"/>
      <c r="G47" s="19">
        <v>39</v>
      </c>
      <c r="H47" s="20" t="s">
        <v>2970</v>
      </c>
      <c r="I47" s="71">
        <v>7277336</v>
      </c>
      <c r="J47" s="71">
        <v>7667030</v>
      </c>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2647</v>
      </c>
      <c r="B54" s="382"/>
      <c r="C54" s="382"/>
      <c r="D54" s="382"/>
      <c r="E54" s="382"/>
      <c r="F54" s="382"/>
      <c r="G54" s="19">
        <v>46</v>
      </c>
      <c r="H54" s="20"/>
      <c r="I54" s="70">
        <f>SUM(I55:I60)</f>
        <v>28263975</v>
      </c>
      <c r="J54" s="70">
        <f>SUM(J55:J60)</f>
        <v>33012489</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2635</v>
      </c>
      <c r="B57" s="381"/>
      <c r="C57" s="381"/>
      <c r="D57" s="381"/>
      <c r="E57" s="381"/>
      <c r="F57" s="381"/>
      <c r="G57" s="19">
        <v>49</v>
      </c>
      <c r="H57" s="20" t="s">
        <v>2969</v>
      </c>
      <c r="I57" s="71">
        <v>25921814</v>
      </c>
      <c r="J57" s="71">
        <v>29246798</v>
      </c>
    </row>
    <row r="58" spans="1:10" ht="13.5" customHeight="1">
      <c r="A58" s="381" t="s">
        <v>350</v>
      </c>
      <c r="B58" s="381"/>
      <c r="C58" s="381"/>
      <c r="D58" s="381"/>
      <c r="E58" s="381"/>
      <c r="F58" s="381"/>
      <c r="G58" s="19">
        <v>50</v>
      </c>
      <c r="H58" s="20" t="s">
        <v>2971</v>
      </c>
      <c r="I58" s="71">
        <v>98161</v>
      </c>
      <c r="J58" s="71">
        <v>108096</v>
      </c>
    </row>
    <row r="59" spans="1:10" ht="13.5" customHeight="1">
      <c r="A59" s="381" t="s">
        <v>351</v>
      </c>
      <c r="B59" s="381"/>
      <c r="C59" s="381"/>
      <c r="D59" s="381"/>
      <c r="E59" s="381"/>
      <c r="F59" s="381"/>
      <c r="G59" s="19">
        <v>51</v>
      </c>
      <c r="H59" s="20" t="s">
        <v>2971</v>
      </c>
      <c r="I59" s="71">
        <v>96622</v>
      </c>
      <c r="J59" s="71">
        <v>449210</v>
      </c>
    </row>
    <row r="60" spans="1:10" ht="13.5" customHeight="1">
      <c r="A60" s="381" t="s">
        <v>2637</v>
      </c>
      <c r="B60" s="381"/>
      <c r="C60" s="381"/>
      <c r="D60" s="381"/>
      <c r="E60" s="381"/>
      <c r="F60" s="381"/>
      <c r="G60" s="19">
        <v>52</v>
      </c>
      <c r="H60" s="20" t="s">
        <v>2971</v>
      </c>
      <c r="I60" s="71">
        <v>2147378</v>
      </c>
      <c r="J60" s="71">
        <v>3208385</v>
      </c>
    </row>
    <row r="61" spans="1:10" ht="13.5" customHeight="1">
      <c r="A61" s="382" t="s">
        <v>2648</v>
      </c>
      <c r="B61" s="382"/>
      <c r="C61" s="382"/>
      <c r="D61" s="382"/>
      <c r="E61" s="382"/>
      <c r="F61" s="382"/>
      <c r="G61" s="19">
        <v>53</v>
      </c>
      <c r="H61" s="20"/>
      <c r="I61" s="70">
        <f>SUM(I62:I70)</f>
        <v>5000000</v>
      </c>
      <c r="J61" s="70">
        <f>SUM(J62:J70)</f>
        <v>5000000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t="s">
        <v>2972</v>
      </c>
      <c r="I69" s="71">
        <v>5000000</v>
      </c>
      <c r="J69" s="71">
        <v>5000000</v>
      </c>
    </row>
    <row r="70" spans="1:10" ht="13.5" customHeight="1">
      <c r="A70" s="381" t="s">
        <v>1038</v>
      </c>
      <c r="B70" s="381"/>
      <c r="C70" s="381"/>
      <c r="D70" s="381"/>
      <c r="E70" s="381"/>
      <c r="F70" s="381"/>
      <c r="G70" s="19">
        <v>62</v>
      </c>
      <c r="H70" s="20"/>
      <c r="I70" s="71"/>
      <c r="J70" s="71"/>
    </row>
    <row r="71" spans="1:10" ht="13.5" customHeight="1">
      <c r="A71" s="382" t="s">
        <v>2394</v>
      </c>
      <c r="B71" s="382"/>
      <c r="C71" s="382"/>
      <c r="D71" s="382"/>
      <c r="E71" s="382"/>
      <c r="F71" s="382"/>
      <c r="G71" s="19">
        <v>63</v>
      </c>
      <c r="H71" s="20" t="s">
        <v>2973</v>
      </c>
      <c r="I71" s="71">
        <v>16357479</v>
      </c>
      <c r="J71" s="71">
        <v>10026166</v>
      </c>
    </row>
    <row r="72" spans="1:10" ht="24.75" customHeight="1">
      <c r="A72" s="383" t="s">
        <v>1558</v>
      </c>
      <c r="B72" s="383"/>
      <c r="C72" s="383"/>
      <c r="D72" s="383"/>
      <c r="E72" s="383"/>
      <c r="F72" s="383"/>
      <c r="G72" s="19">
        <v>64</v>
      </c>
      <c r="H72" s="20"/>
      <c r="I72" s="71">
        <v>4667</v>
      </c>
      <c r="J72" s="71"/>
    </row>
    <row r="73" spans="1:10" ht="13.5" customHeight="1">
      <c r="A73" s="383" t="s">
        <v>2649</v>
      </c>
      <c r="B73" s="383"/>
      <c r="C73" s="383"/>
      <c r="D73" s="383"/>
      <c r="E73" s="383"/>
      <c r="F73" s="383"/>
      <c r="G73" s="19">
        <v>65</v>
      </c>
      <c r="H73" s="20"/>
      <c r="I73" s="70">
        <f>I9+I10+I45+I72</f>
        <v>558958910</v>
      </c>
      <c r="J73" s="70">
        <f>J9+J10+J45+J72</f>
        <v>565066504</v>
      </c>
    </row>
    <row r="74" spans="1:10" ht="13.5" customHeight="1">
      <c r="A74" s="384" t="s">
        <v>257</v>
      </c>
      <c r="B74" s="384"/>
      <c r="C74" s="384"/>
      <c r="D74" s="384"/>
      <c r="E74" s="384"/>
      <c r="F74" s="384"/>
      <c r="G74" s="21">
        <v>66</v>
      </c>
      <c r="H74" s="22"/>
      <c r="I74" s="72">
        <v>2148</v>
      </c>
      <c r="J74" s="72"/>
    </row>
    <row r="75" spans="1:10" ht="13.5" customHeight="1">
      <c r="A75" s="400" t="s">
        <v>663</v>
      </c>
      <c r="B75" s="402"/>
      <c r="C75" s="402"/>
      <c r="D75" s="402"/>
      <c r="E75" s="402"/>
      <c r="F75" s="402"/>
      <c r="G75" s="402"/>
      <c r="H75" s="402"/>
      <c r="I75" s="402"/>
      <c r="J75" s="402"/>
    </row>
    <row r="76" spans="1:12" ht="13.5" customHeight="1">
      <c r="A76" s="383" t="s">
        <v>2650</v>
      </c>
      <c r="B76" s="383"/>
      <c r="C76" s="383"/>
      <c r="D76" s="383"/>
      <c r="E76" s="383"/>
      <c r="F76" s="383"/>
      <c r="G76" s="19">
        <v>67</v>
      </c>
      <c r="H76" s="20"/>
      <c r="I76" s="70">
        <f>I77+I78+I79+I85+I86+I90+I93+I96</f>
        <v>159871752</v>
      </c>
      <c r="J76" s="70">
        <f>J77+J78+J79+J85+J86+J90+J93+J96</f>
        <v>159963824</v>
      </c>
      <c r="L76" s="2" t="s">
        <v>2590</v>
      </c>
    </row>
    <row r="77" spans="1:10" ht="13.5" customHeight="1">
      <c r="A77" s="382" t="s">
        <v>935</v>
      </c>
      <c r="B77" s="382"/>
      <c r="C77" s="382"/>
      <c r="D77" s="382"/>
      <c r="E77" s="382"/>
      <c r="F77" s="382"/>
      <c r="G77" s="19">
        <v>68</v>
      </c>
      <c r="H77" s="20" t="s">
        <v>2974</v>
      </c>
      <c r="I77" s="71">
        <v>159483800</v>
      </c>
      <c r="J77" s="71">
        <v>159483800</v>
      </c>
    </row>
    <row r="78" spans="1:12" ht="13.5" customHeight="1">
      <c r="A78" s="382" t="s">
        <v>936</v>
      </c>
      <c r="B78" s="382"/>
      <c r="C78" s="382"/>
      <c r="D78" s="382"/>
      <c r="E78" s="382"/>
      <c r="F78" s="382"/>
      <c r="G78" s="19">
        <v>69</v>
      </c>
      <c r="H78" s="20"/>
      <c r="I78" s="71"/>
      <c r="J78" s="71"/>
      <c r="L78" s="2" t="s">
        <v>2590</v>
      </c>
    </row>
    <row r="79" spans="1:12" ht="13.5" customHeight="1">
      <c r="A79" s="382" t="s">
        <v>2472</v>
      </c>
      <c r="B79" s="382"/>
      <c r="C79" s="382"/>
      <c r="D79" s="382"/>
      <c r="E79" s="382"/>
      <c r="F79" s="382"/>
      <c r="G79" s="19">
        <v>70</v>
      </c>
      <c r="H79" s="20"/>
      <c r="I79" s="70">
        <f>I80+I81-I82+I83+I84</f>
        <v>0</v>
      </c>
      <c r="J79" s="70">
        <f>J80+J81-J82+J83+J84</f>
        <v>0</v>
      </c>
      <c r="L79" s="2" t="s">
        <v>2590</v>
      </c>
    </row>
    <row r="80" spans="1:10" ht="13.5" customHeight="1">
      <c r="A80" s="381" t="s">
        <v>2640</v>
      </c>
      <c r="B80" s="381"/>
      <c r="C80" s="381"/>
      <c r="D80" s="381"/>
      <c r="E80" s="381"/>
      <c r="F80" s="381"/>
      <c r="G80" s="19">
        <v>71</v>
      </c>
      <c r="H80" s="20"/>
      <c r="I80" s="71"/>
      <c r="J80" s="71"/>
    </row>
    <row r="81" spans="1:10" ht="13.5" customHeight="1">
      <c r="A81" s="381" t="s">
        <v>2641</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2590</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2651</v>
      </c>
      <c r="B90" s="382"/>
      <c r="C90" s="382"/>
      <c r="D90" s="382"/>
      <c r="E90" s="382"/>
      <c r="F90" s="382"/>
      <c r="G90" s="19">
        <v>81</v>
      </c>
      <c r="H90" s="20"/>
      <c r="I90" s="70">
        <f>I91-I92</f>
        <v>372699</v>
      </c>
      <c r="J90" s="70">
        <f>J91-J92</f>
        <v>427459</v>
      </c>
      <c r="L90" s="2" t="s">
        <v>2590</v>
      </c>
    </row>
    <row r="91" spans="1:10" ht="13.5" customHeight="1">
      <c r="A91" s="381" t="s">
        <v>1139</v>
      </c>
      <c r="B91" s="381"/>
      <c r="C91" s="381"/>
      <c r="D91" s="381"/>
      <c r="E91" s="381"/>
      <c r="F91" s="381"/>
      <c r="G91" s="19">
        <v>82</v>
      </c>
      <c r="H91" s="20" t="s">
        <v>2974</v>
      </c>
      <c r="I91" s="71">
        <v>372699</v>
      </c>
      <c r="J91" s="71">
        <v>427459</v>
      </c>
    </row>
    <row r="92" spans="1:10" ht="13.5" customHeight="1">
      <c r="A92" s="381" t="s">
        <v>1140</v>
      </c>
      <c r="B92" s="381"/>
      <c r="C92" s="381"/>
      <c r="D92" s="381"/>
      <c r="E92" s="381"/>
      <c r="F92" s="381"/>
      <c r="G92" s="19">
        <v>83</v>
      </c>
      <c r="H92" s="20"/>
      <c r="I92" s="71"/>
      <c r="J92" s="71"/>
    </row>
    <row r="93" spans="1:12" ht="13.5" customHeight="1">
      <c r="A93" s="382" t="s">
        <v>2652</v>
      </c>
      <c r="B93" s="382"/>
      <c r="C93" s="382"/>
      <c r="D93" s="382"/>
      <c r="E93" s="382"/>
      <c r="F93" s="382"/>
      <c r="G93" s="19">
        <v>84</v>
      </c>
      <c r="H93" s="20"/>
      <c r="I93" s="70">
        <f>I94-I95</f>
        <v>15253</v>
      </c>
      <c r="J93" s="70">
        <f>J94-J95</f>
        <v>52565</v>
      </c>
      <c r="L93" s="2" t="s">
        <v>2590</v>
      </c>
    </row>
    <row r="94" spans="1:10" ht="13.5" customHeight="1">
      <c r="A94" s="381" t="s">
        <v>2639</v>
      </c>
      <c r="B94" s="381"/>
      <c r="C94" s="381"/>
      <c r="D94" s="381"/>
      <c r="E94" s="381"/>
      <c r="F94" s="381"/>
      <c r="G94" s="19">
        <v>85</v>
      </c>
      <c r="H94" s="20" t="s">
        <v>2974</v>
      </c>
      <c r="I94" s="71">
        <v>15253</v>
      </c>
      <c r="J94" s="71">
        <v>52565</v>
      </c>
    </row>
    <row r="95" spans="1:10" ht="13.5" customHeight="1">
      <c r="A95" s="381" t="s">
        <v>1141</v>
      </c>
      <c r="B95" s="381"/>
      <c r="C95" s="381"/>
      <c r="D95" s="381"/>
      <c r="E95" s="381"/>
      <c r="F95" s="381"/>
      <c r="G95" s="19">
        <v>86</v>
      </c>
      <c r="H95" s="20"/>
      <c r="I95" s="71"/>
      <c r="J95" s="71"/>
    </row>
    <row r="96" spans="1:12" ht="13.5" customHeight="1">
      <c r="A96" s="382" t="s">
        <v>2190</v>
      </c>
      <c r="B96" s="382"/>
      <c r="C96" s="382"/>
      <c r="D96" s="382"/>
      <c r="E96" s="382"/>
      <c r="F96" s="382"/>
      <c r="G96" s="19">
        <v>87</v>
      </c>
      <c r="H96" s="20"/>
      <c r="I96" s="71"/>
      <c r="J96" s="71"/>
      <c r="L96" s="2" t="s">
        <v>2590</v>
      </c>
    </row>
    <row r="97" spans="1:10" ht="13.5" customHeight="1">
      <c r="A97" s="383" t="s">
        <v>2653</v>
      </c>
      <c r="B97" s="383"/>
      <c r="C97" s="383"/>
      <c r="D97" s="383"/>
      <c r="E97" s="383"/>
      <c r="F97" s="383"/>
      <c r="G97" s="19">
        <v>88</v>
      </c>
      <c r="H97" s="20"/>
      <c r="I97" s="70">
        <f>SUM(I98:I103)</f>
        <v>0</v>
      </c>
      <c r="J97" s="70">
        <f>SUM(J98:J103)</f>
        <v>1269194</v>
      </c>
    </row>
    <row r="98" spans="1:10" ht="13.5" customHeight="1">
      <c r="A98" s="381" t="s">
        <v>901</v>
      </c>
      <c r="B98" s="381"/>
      <c r="C98" s="381"/>
      <c r="D98" s="381"/>
      <c r="E98" s="381"/>
      <c r="F98" s="381"/>
      <c r="G98" s="19">
        <v>89</v>
      </c>
      <c r="H98" s="20"/>
      <c r="I98" s="71"/>
      <c r="J98" s="71">
        <v>1269194</v>
      </c>
    </row>
    <row r="99" spans="1:10" ht="13.5" customHeight="1">
      <c r="A99" s="381" t="s">
        <v>902</v>
      </c>
      <c r="B99" s="381"/>
      <c r="C99" s="381"/>
      <c r="D99" s="381"/>
      <c r="E99" s="381"/>
      <c r="F99" s="381"/>
      <c r="G99" s="19">
        <v>90</v>
      </c>
      <c r="H99" s="20"/>
      <c r="I99" s="71"/>
      <c r="J99" s="71"/>
    </row>
    <row r="100" spans="1:10" ht="13.5" customHeight="1">
      <c r="A100" s="381" t="s">
        <v>2638</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2191</v>
      </c>
      <c r="B103" s="381"/>
      <c r="C103" s="381"/>
      <c r="D103" s="381"/>
      <c r="E103" s="381"/>
      <c r="F103" s="381"/>
      <c r="G103" s="19">
        <v>94</v>
      </c>
      <c r="H103" s="20"/>
      <c r="I103" s="71"/>
      <c r="J103" s="71"/>
    </row>
    <row r="104" spans="1:10" ht="13.5" customHeight="1">
      <c r="A104" s="383" t="s">
        <v>2654</v>
      </c>
      <c r="B104" s="383"/>
      <c r="C104" s="383"/>
      <c r="D104" s="383"/>
      <c r="E104" s="383"/>
      <c r="F104" s="383"/>
      <c r="G104" s="19">
        <v>95</v>
      </c>
      <c r="H104" s="20"/>
      <c r="I104" s="70">
        <f>SUM(I105:I115)</f>
        <v>744082</v>
      </c>
      <c r="J104" s="70">
        <f>SUM(J105:J115)</f>
        <v>871571</v>
      </c>
    </row>
    <row r="105" spans="1:10" ht="13.5" customHeight="1">
      <c r="A105" s="381" t="s">
        <v>2192</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t="s">
        <v>2975</v>
      </c>
      <c r="I110" s="71">
        <v>744082</v>
      </c>
      <c r="J110" s="71">
        <v>871571</v>
      </c>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2655</v>
      </c>
      <c r="B116" s="383"/>
      <c r="C116" s="383"/>
      <c r="D116" s="383"/>
      <c r="E116" s="383"/>
      <c r="F116" s="383"/>
      <c r="G116" s="19">
        <v>107</v>
      </c>
      <c r="H116" s="20"/>
      <c r="I116" s="70">
        <f>SUM(I117:I130)</f>
        <v>21742942</v>
      </c>
      <c r="J116" s="70">
        <f>SUM(J117:J130)</f>
        <v>25579290</v>
      </c>
    </row>
    <row r="117" spans="1:10" ht="13.5" customHeight="1">
      <c r="A117" s="381" t="s">
        <v>2192</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t="s">
        <v>2975</v>
      </c>
      <c r="I122" s="71">
        <v>382010</v>
      </c>
      <c r="J122" s="71">
        <v>632546</v>
      </c>
    </row>
    <row r="123" spans="1:10" ht="13.5" customHeight="1">
      <c r="A123" s="381" t="s">
        <v>357</v>
      </c>
      <c r="B123" s="381"/>
      <c r="C123" s="381"/>
      <c r="D123" s="381"/>
      <c r="E123" s="381"/>
      <c r="F123" s="381"/>
      <c r="G123" s="19">
        <v>114</v>
      </c>
      <c r="H123" s="20" t="s">
        <v>2976</v>
      </c>
      <c r="I123" s="71">
        <v>1705997</v>
      </c>
      <c r="J123" s="71">
        <v>1512877</v>
      </c>
    </row>
    <row r="124" spans="1:10" ht="13.5" customHeight="1">
      <c r="A124" s="381" t="s">
        <v>358</v>
      </c>
      <c r="B124" s="381"/>
      <c r="C124" s="381"/>
      <c r="D124" s="381"/>
      <c r="E124" s="381"/>
      <c r="F124" s="381"/>
      <c r="G124" s="19">
        <v>115</v>
      </c>
      <c r="H124" s="20" t="s">
        <v>2977</v>
      </c>
      <c r="I124" s="71">
        <v>7075092</v>
      </c>
      <c r="J124" s="71">
        <v>10305853</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t="s">
        <v>2976</v>
      </c>
      <c r="I126" s="71">
        <v>1416272</v>
      </c>
      <c r="J126" s="71">
        <v>1643993</v>
      </c>
    </row>
    <row r="127" spans="1:10" ht="13.5" customHeight="1">
      <c r="A127" s="381" t="s">
        <v>364</v>
      </c>
      <c r="B127" s="381"/>
      <c r="C127" s="381"/>
      <c r="D127" s="381"/>
      <c r="E127" s="381"/>
      <c r="F127" s="381"/>
      <c r="G127" s="19">
        <v>118</v>
      </c>
      <c r="H127" s="20" t="s">
        <v>2976</v>
      </c>
      <c r="I127" s="71">
        <v>1184236</v>
      </c>
      <c r="J127" s="71">
        <v>843025</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9979335</v>
      </c>
      <c r="J130" s="71">
        <v>10640996</v>
      </c>
    </row>
    <row r="131" spans="1:10" ht="24.75" customHeight="1">
      <c r="A131" s="383" t="s">
        <v>1560</v>
      </c>
      <c r="B131" s="383"/>
      <c r="C131" s="383"/>
      <c r="D131" s="383"/>
      <c r="E131" s="383"/>
      <c r="F131" s="383"/>
      <c r="G131" s="19">
        <v>122</v>
      </c>
      <c r="H131" s="20" t="s">
        <v>2978</v>
      </c>
      <c r="I131" s="71">
        <v>376600134</v>
      </c>
      <c r="J131" s="71">
        <v>377382624</v>
      </c>
    </row>
    <row r="132" spans="1:10" ht="13.5" customHeight="1">
      <c r="A132" s="383" t="s">
        <v>2656</v>
      </c>
      <c r="B132" s="383"/>
      <c r="C132" s="383"/>
      <c r="D132" s="383"/>
      <c r="E132" s="383"/>
      <c r="F132" s="383"/>
      <c r="G132" s="19">
        <v>123</v>
      </c>
      <c r="H132" s="20"/>
      <c r="I132" s="70">
        <f>I76+I97+I104+I116+I131</f>
        <v>558958910</v>
      </c>
      <c r="J132" s="70">
        <f>J76+J97+J104+J116+J131</f>
        <v>565066503</v>
      </c>
    </row>
    <row r="133" spans="1:10" ht="13.5" customHeight="1">
      <c r="A133" s="384" t="s">
        <v>662</v>
      </c>
      <c r="B133" s="384"/>
      <c r="C133" s="384"/>
      <c r="D133" s="384"/>
      <c r="E133" s="384"/>
      <c r="F133" s="384"/>
      <c r="G133" s="21">
        <v>124</v>
      </c>
      <c r="H133" s="22"/>
      <c r="I133" s="72">
        <v>2148</v>
      </c>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35" activePane="bottomLeft" state="frozen"/>
      <selection pane="topLeft" activeCell="A1" sqref="A1"/>
      <selection pane="bottomLeft" activeCell="I55" sqref="I55"/>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2591</v>
      </c>
      <c r="Q2" s="74">
        <f>IF(OR(MIN(I8:I105)&lt;0,MAX(I8:I105)&gt;0),1,0)</f>
        <v>1</v>
      </c>
      <c r="R2" s="73" t="s">
        <v>2585</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2586</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89406825003; VODOVOD D.O.O.</v>
      </c>
      <c r="B5" s="414"/>
      <c r="C5" s="414"/>
      <c r="D5" s="414"/>
      <c r="E5" s="414"/>
      <c r="F5" s="414"/>
      <c r="G5" s="414"/>
      <c r="H5" s="414"/>
      <c r="I5" s="414"/>
      <c r="J5" s="415"/>
      <c r="Q5" s="2">
        <f>IF(OR(MIN(I85:I87,I103:I105)&lt;0,MAX(I85:I87,I103:I105)&gt;0),1,0)</f>
        <v>0</v>
      </c>
      <c r="R5" s="73" t="s">
        <v>2587</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2588</v>
      </c>
    </row>
    <row r="7" spans="1:18" s="2" customFormat="1" ht="13.5" customHeight="1">
      <c r="A7" s="398">
        <v>1</v>
      </c>
      <c r="B7" s="399"/>
      <c r="C7" s="399"/>
      <c r="D7" s="399"/>
      <c r="E7" s="399"/>
      <c r="F7" s="399"/>
      <c r="G7" s="105">
        <v>2</v>
      </c>
      <c r="H7" s="105">
        <v>3</v>
      </c>
      <c r="I7" s="104">
        <v>4</v>
      </c>
      <c r="J7" s="106">
        <v>5</v>
      </c>
      <c r="Q7" s="2">
        <f>IF(OR(MIN(RDG!I89:J101)&lt;0,MAX(RDG!I89:J101)&gt;0),1,0)</f>
        <v>1</v>
      </c>
      <c r="R7" s="73" t="s">
        <v>800</v>
      </c>
    </row>
    <row r="8" spans="1:18" s="2" customFormat="1" ht="13.5" customHeight="1">
      <c r="A8" s="420" t="s">
        <v>1836</v>
      </c>
      <c r="B8" s="420"/>
      <c r="C8" s="420"/>
      <c r="D8" s="420"/>
      <c r="E8" s="420"/>
      <c r="F8" s="420"/>
      <c r="G8" s="17">
        <v>125</v>
      </c>
      <c r="H8" s="18"/>
      <c r="I8" s="84">
        <f>SUM(I9:I13)</f>
        <v>81559716</v>
      </c>
      <c r="J8" s="84">
        <f>SUM(J9:J13)</f>
        <v>87401226</v>
      </c>
      <c r="Q8" s="2">
        <f>IF(OR(MIN(I70:J75)&lt;&gt;0,MAX(I70:J75)&lt;&gt;0),1,0)</f>
        <v>0</v>
      </c>
      <c r="R8" s="73" t="s">
        <v>2596</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t="s">
        <v>2979</v>
      </c>
      <c r="I10" s="71">
        <v>60498791</v>
      </c>
      <c r="J10" s="71">
        <v>62986120</v>
      </c>
    </row>
    <row r="11" spans="1:10" s="2" customFormat="1" ht="13.5" customHeight="1">
      <c r="A11" s="381" t="s">
        <v>1435</v>
      </c>
      <c r="B11" s="381"/>
      <c r="C11" s="381"/>
      <c r="D11" s="381"/>
      <c r="E11" s="381"/>
      <c r="F11" s="381"/>
      <c r="G11" s="19">
        <v>128</v>
      </c>
      <c r="H11" s="20" t="s">
        <v>2980</v>
      </c>
      <c r="I11" s="71">
        <v>2119808</v>
      </c>
      <c r="J11" s="71">
        <v>1852860</v>
      </c>
    </row>
    <row r="12" spans="1:10" s="2" customFormat="1" ht="13.5" customHeight="1">
      <c r="A12" s="381" t="s">
        <v>1436</v>
      </c>
      <c r="B12" s="381"/>
      <c r="C12" s="381"/>
      <c r="D12" s="381"/>
      <c r="E12" s="381"/>
      <c r="F12" s="381"/>
      <c r="G12" s="19">
        <v>129</v>
      </c>
      <c r="H12" s="20"/>
      <c r="I12" s="71"/>
      <c r="J12" s="71"/>
    </row>
    <row r="13" spans="1:10" s="2" customFormat="1" ht="13.5" customHeight="1">
      <c r="A13" s="381" t="s">
        <v>2509</v>
      </c>
      <c r="B13" s="381"/>
      <c r="C13" s="381"/>
      <c r="D13" s="381"/>
      <c r="E13" s="381"/>
      <c r="F13" s="381"/>
      <c r="G13" s="19">
        <v>130</v>
      </c>
      <c r="H13" s="20" t="s">
        <v>2980</v>
      </c>
      <c r="I13" s="71">
        <v>18941117</v>
      </c>
      <c r="J13" s="71">
        <v>22562246</v>
      </c>
    </row>
    <row r="14" spans="1:10" s="2" customFormat="1" ht="13.5" customHeight="1">
      <c r="A14" s="383" t="s">
        <v>1837</v>
      </c>
      <c r="B14" s="383"/>
      <c r="C14" s="383"/>
      <c r="D14" s="383"/>
      <c r="E14" s="383"/>
      <c r="F14" s="383"/>
      <c r="G14" s="19">
        <v>131</v>
      </c>
      <c r="H14" s="20"/>
      <c r="I14" s="70">
        <f>I15+I16+I20+I24+I25+I26+I29+I36</f>
        <v>80366014</v>
      </c>
      <c r="J14" s="70">
        <f>J15+J16+J20+J24+J25+J26+J29+J36</f>
        <v>89233273</v>
      </c>
    </row>
    <row r="15" spans="1:12" s="2" customFormat="1" ht="13.5" customHeight="1">
      <c r="A15" s="381" t="s">
        <v>258</v>
      </c>
      <c r="B15" s="381"/>
      <c r="C15" s="381"/>
      <c r="D15" s="381"/>
      <c r="E15" s="381"/>
      <c r="F15" s="381"/>
      <c r="G15" s="19">
        <v>132</v>
      </c>
      <c r="H15" s="20"/>
      <c r="I15" s="71"/>
      <c r="J15" s="71"/>
      <c r="L15" s="2" t="s">
        <v>2590</v>
      </c>
    </row>
    <row r="16" spans="1:10" s="2" customFormat="1" ht="13.5" customHeight="1">
      <c r="A16" s="381" t="s">
        <v>1838</v>
      </c>
      <c r="B16" s="381"/>
      <c r="C16" s="381"/>
      <c r="D16" s="381"/>
      <c r="E16" s="381"/>
      <c r="F16" s="381"/>
      <c r="G16" s="19">
        <v>133</v>
      </c>
      <c r="H16" s="20"/>
      <c r="I16" s="70">
        <f>SUM(I17:I19)</f>
        <v>27717940</v>
      </c>
      <c r="J16" s="70">
        <f>SUM(J17:J19)</f>
        <v>33445145</v>
      </c>
    </row>
    <row r="17" spans="1:10" s="2" customFormat="1" ht="13.5" customHeight="1">
      <c r="A17" s="410" t="s">
        <v>504</v>
      </c>
      <c r="B17" s="410"/>
      <c r="C17" s="410"/>
      <c r="D17" s="410"/>
      <c r="E17" s="410"/>
      <c r="F17" s="410"/>
      <c r="G17" s="19">
        <v>134</v>
      </c>
      <c r="H17" s="20" t="s">
        <v>2981</v>
      </c>
      <c r="I17" s="71">
        <v>19839740</v>
      </c>
      <c r="J17" s="71">
        <v>24362098</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t="s">
        <v>2981</v>
      </c>
      <c r="I19" s="71">
        <v>7878200</v>
      </c>
      <c r="J19" s="71">
        <v>9083047</v>
      </c>
    </row>
    <row r="20" spans="1:10" s="2" customFormat="1" ht="13.5" customHeight="1">
      <c r="A20" s="381" t="s">
        <v>1839</v>
      </c>
      <c r="B20" s="381"/>
      <c r="C20" s="381"/>
      <c r="D20" s="381"/>
      <c r="E20" s="381"/>
      <c r="F20" s="381"/>
      <c r="G20" s="19">
        <v>137</v>
      </c>
      <c r="H20" s="20"/>
      <c r="I20" s="70">
        <f>SUM(I21:I23)</f>
        <v>27598085</v>
      </c>
      <c r="J20" s="70">
        <f>SUM(J21:J23)</f>
        <v>31536481</v>
      </c>
    </row>
    <row r="21" spans="1:10" s="2" customFormat="1" ht="13.5" customHeight="1">
      <c r="A21" s="410" t="s">
        <v>724</v>
      </c>
      <c r="B21" s="410"/>
      <c r="C21" s="410"/>
      <c r="D21" s="410"/>
      <c r="E21" s="410"/>
      <c r="F21" s="410"/>
      <c r="G21" s="19">
        <v>138</v>
      </c>
      <c r="H21" s="20" t="s">
        <v>2982</v>
      </c>
      <c r="I21" s="71">
        <v>19052130</v>
      </c>
      <c r="J21" s="71">
        <v>21813648</v>
      </c>
    </row>
    <row r="22" spans="1:10" s="2" customFormat="1" ht="13.5" customHeight="1">
      <c r="A22" s="410" t="s">
        <v>961</v>
      </c>
      <c r="B22" s="410"/>
      <c r="C22" s="410"/>
      <c r="D22" s="410"/>
      <c r="E22" s="410"/>
      <c r="F22" s="410"/>
      <c r="G22" s="19">
        <v>139</v>
      </c>
      <c r="H22" s="20" t="s">
        <v>2982</v>
      </c>
      <c r="I22" s="71">
        <v>5029320</v>
      </c>
      <c r="J22" s="71">
        <v>5957670</v>
      </c>
    </row>
    <row r="23" spans="1:10" s="2" customFormat="1" ht="13.5" customHeight="1">
      <c r="A23" s="410" t="s">
        <v>962</v>
      </c>
      <c r="B23" s="410"/>
      <c r="C23" s="410"/>
      <c r="D23" s="410"/>
      <c r="E23" s="410"/>
      <c r="F23" s="410"/>
      <c r="G23" s="19">
        <v>140</v>
      </c>
      <c r="H23" s="20" t="s">
        <v>2982</v>
      </c>
      <c r="I23" s="71">
        <v>3516635</v>
      </c>
      <c r="J23" s="71">
        <v>3765163</v>
      </c>
    </row>
    <row r="24" spans="1:10" s="2" customFormat="1" ht="13.5" customHeight="1">
      <c r="A24" s="381" t="s">
        <v>259</v>
      </c>
      <c r="B24" s="381"/>
      <c r="C24" s="381"/>
      <c r="D24" s="381"/>
      <c r="E24" s="381"/>
      <c r="F24" s="381"/>
      <c r="G24" s="19">
        <v>141</v>
      </c>
      <c r="H24" s="20"/>
      <c r="I24" s="71">
        <v>16805848</v>
      </c>
      <c r="J24" s="71">
        <v>16658639</v>
      </c>
    </row>
    <row r="25" spans="1:10" s="2" customFormat="1" ht="13.5" customHeight="1">
      <c r="A25" s="381" t="s">
        <v>260</v>
      </c>
      <c r="B25" s="381"/>
      <c r="C25" s="381"/>
      <c r="D25" s="381"/>
      <c r="E25" s="381"/>
      <c r="F25" s="381"/>
      <c r="G25" s="19">
        <v>142</v>
      </c>
      <c r="H25" s="20" t="s">
        <v>2983</v>
      </c>
      <c r="I25" s="71">
        <v>3186816</v>
      </c>
      <c r="J25" s="71">
        <v>1993642</v>
      </c>
    </row>
    <row r="26" spans="1:12" s="2" customFormat="1" ht="13.5" customHeight="1">
      <c r="A26" s="381" t="s">
        <v>1840</v>
      </c>
      <c r="B26" s="381"/>
      <c r="C26" s="381"/>
      <c r="D26" s="381"/>
      <c r="E26" s="381"/>
      <c r="F26" s="381"/>
      <c r="G26" s="19">
        <v>143</v>
      </c>
      <c r="H26" s="20"/>
      <c r="I26" s="70">
        <f>SUM(I27:I28)</f>
        <v>4493034</v>
      </c>
      <c r="J26" s="70">
        <f>SUM(J27:J28)</f>
        <v>3596716</v>
      </c>
      <c r="L26" s="2" t="s">
        <v>2590</v>
      </c>
    </row>
    <row r="27" spans="1:12" s="2" customFormat="1" ht="13.5" customHeight="1">
      <c r="A27" s="410" t="s">
        <v>506</v>
      </c>
      <c r="B27" s="410"/>
      <c r="C27" s="410"/>
      <c r="D27" s="410"/>
      <c r="E27" s="410"/>
      <c r="F27" s="410"/>
      <c r="G27" s="19">
        <v>144</v>
      </c>
      <c r="H27" s="20"/>
      <c r="I27" s="71"/>
      <c r="J27" s="71"/>
      <c r="L27" s="2" t="s">
        <v>2590</v>
      </c>
    </row>
    <row r="28" spans="1:12" s="2" customFormat="1" ht="13.5" customHeight="1">
      <c r="A28" s="410" t="s">
        <v>507</v>
      </c>
      <c r="B28" s="410"/>
      <c r="C28" s="410"/>
      <c r="D28" s="410"/>
      <c r="E28" s="410"/>
      <c r="F28" s="410"/>
      <c r="G28" s="19">
        <v>145</v>
      </c>
      <c r="H28" s="20" t="s">
        <v>2983</v>
      </c>
      <c r="I28" s="71">
        <v>4493034</v>
      </c>
      <c r="J28" s="71">
        <v>3596716</v>
      </c>
      <c r="L28" s="2" t="s">
        <v>2590</v>
      </c>
    </row>
    <row r="29" spans="1:12" s="2" customFormat="1" ht="13.5" customHeight="1">
      <c r="A29" s="381" t="s">
        <v>1841</v>
      </c>
      <c r="B29" s="381"/>
      <c r="C29" s="381"/>
      <c r="D29" s="381"/>
      <c r="E29" s="381"/>
      <c r="F29" s="381"/>
      <c r="G29" s="19">
        <v>146</v>
      </c>
      <c r="H29" s="20"/>
      <c r="I29" s="70">
        <f>SUM(I30:I35)</f>
        <v>0</v>
      </c>
      <c r="J29" s="70">
        <f>SUM(J30:J35)</f>
        <v>1269194</v>
      </c>
      <c r="L29" s="2" t="s">
        <v>2590</v>
      </c>
    </row>
    <row r="30" spans="1:12" s="2" customFormat="1" ht="13.5" customHeight="1">
      <c r="A30" s="410" t="s">
        <v>508</v>
      </c>
      <c r="B30" s="410"/>
      <c r="C30" s="410"/>
      <c r="D30" s="410"/>
      <c r="E30" s="410"/>
      <c r="F30" s="410"/>
      <c r="G30" s="19">
        <v>147</v>
      </c>
      <c r="H30" s="20" t="s">
        <v>2983</v>
      </c>
      <c r="I30" s="71"/>
      <c r="J30" s="71">
        <v>1269194</v>
      </c>
      <c r="L30" s="2" t="s">
        <v>2590</v>
      </c>
    </row>
    <row r="31" spans="1:12" s="2" customFormat="1" ht="13.5" customHeight="1">
      <c r="A31" s="410" t="s">
        <v>509</v>
      </c>
      <c r="B31" s="410"/>
      <c r="C31" s="410"/>
      <c r="D31" s="410"/>
      <c r="E31" s="410"/>
      <c r="F31" s="410"/>
      <c r="G31" s="19">
        <v>148</v>
      </c>
      <c r="H31" s="20"/>
      <c r="I31" s="71"/>
      <c r="J31" s="71"/>
      <c r="L31" s="2" t="s">
        <v>2590</v>
      </c>
    </row>
    <row r="32" spans="1:12" s="2" customFormat="1" ht="13.5" customHeight="1">
      <c r="A32" s="410" t="s">
        <v>510</v>
      </c>
      <c r="B32" s="410"/>
      <c r="C32" s="410"/>
      <c r="D32" s="410"/>
      <c r="E32" s="410"/>
      <c r="F32" s="410"/>
      <c r="G32" s="19">
        <v>149</v>
      </c>
      <c r="H32" s="20"/>
      <c r="I32" s="71"/>
      <c r="J32" s="71"/>
      <c r="L32" s="2" t="s">
        <v>2590</v>
      </c>
    </row>
    <row r="33" spans="1:12" s="2" customFormat="1" ht="13.5" customHeight="1">
      <c r="A33" s="410" t="s">
        <v>511</v>
      </c>
      <c r="B33" s="410"/>
      <c r="C33" s="410"/>
      <c r="D33" s="410"/>
      <c r="E33" s="410"/>
      <c r="F33" s="410"/>
      <c r="G33" s="19">
        <v>150</v>
      </c>
      <c r="H33" s="20"/>
      <c r="I33" s="71"/>
      <c r="J33" s="71"/>
      <c r="L33" s="2" t="s">
        <v>2590</v>
      </c>
    </row>
    <row r="34" spans="1:12" s="2" customFormat="1" ht="13.5" customHeight="1">
      <c r="A34" s="410" t="s">
        <v>512</v>
      </c>
      <c r="B34" s="410"/>
      <c r="C34" s="410"/>
      <c r="D34" s="410"/>
      <c r="E34" s="410"/>
      <c r="F34" s="410"/>
      <c r="G34" s="19">
        <v>151</v>
      </c>
      <c r="H34" s="20"/>
      <c r="I34" s="71"/>
      <c r="J34" s="71"/>
      <c r="L34" s="2" t="s">
        <v>2590</v>
      </c>
    </row>
    <row r="35" spans="1:12" s="2" customFormat="1" ht="13.5" customHeight="1">
      <c r="A35" s="410" t="s">
        <v>513</v>
      </c>
      <c r="B35" s="410"/>
      <c r="C35" s="410"/>
      <c r="D35" s="410"/>
      <c r="E35" s="410"/>
      <c r="F35" s="410"/>
      <c r="G35" s="19">
        <v>152</v>
      </c>
      <c r="H35" s="20"/>
      <c r="I35" s="71"/>
      <c r="J35" s="71"/>
      <c r="L35" s="2" t="s">
        <v>2590</v>
      </c>
    </row>
    <row r="36" spans="1:10" s="2" customFormat="1" ht="13.5" customHeight="1">
      <c r="A36" s="381" t="s">
        <v>1692</v>
      </c>
      <c r="B36" s="381"/>
      <c r="C36" s="381"/>
      <c r="D36" s="381"/>
      <c r="E36" s="381"/>
      <c r="F36" s="381"/>
      <c r="G36" s="19">
        <v>153</v>
      </c>
      <c r="H36" s="20" t="s">
        <v>2983</v>
      </c>
      <c r="I36" s="71">
        <v>564291</v>
      </c>
      <c r="J36" s="71">
        <v>733456</v>
      </c>
    </row>
    <row r="37" spans="1:10" s="2" customFormat="1" ht="13.5" customHeight="1">
      <c r="A37" s="383" t="s">
        <v>1842</v>
      </c>
      <c r="B37" s="383"/>
      <c r="C37" s="383"/>
      <c r="D37" s="383"/>
      <c r="E37" s="383"/>
      <c r="F37" s="383"/>
      <c r="G37" s="19">
        <v>154</v>
      </c>
      <c r="H37" s="20"/>
      <c r="I37" s="70">
        <f>SUM(I38:I47)</f>
        <v>1155186</v>
      </c>
      <c r="J37" s="70">
        <f>SUM(J38:J47)</f>
        <v>2244217</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t="s">
        <v>2984</v>
      </c>
      <c r="I44" s="71">
        <v>1150717</v>
      </c>
      <c r="J44" s="71">
        <v>2243977</v>
      </c>
    </row>
    <row r="45" spans="1:10" s="2" customFormat="1" ht="13.5" customHeight="1">
      <c r="A45" s="381" t="s">
        <v>1428</v>
      </c>
      <c r="B45" s="381"/>
      <c r="C45" s="381"/>
      <c r="D45" s="381"/>
      <c r="E45" s="381"/>
      <c r="F45" s="381"/>
      <c r="G45" s="19">
        <v>162</v>
      </c>
      <c r="H45" s="20" t="s">
        <v>2984</v>
      </c>
      <c r="I45" s="71">
        <v>4469</v>
      </c>
      <c r="J45" s="71">
        <v>240</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1868295</v>
      </c>
      <c r="J48" s="70">
        <f>SUM(J49:J55)</f>
        <v>75253</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t="s">
        <v>2985</v>
      </c>
      <c r="I51" s="71">
        <v>43184</v>
      </c>
      <c r="J51" s="71">
        <v>70870</v>
      </c>
    </row>
    <row r="52" spans="1:10" s="2" customFormat="1" ht="13.5" customHeight="1">
      <c r="A52" s="404" t="s">
        <v>1439</v>
      </c>
      <c r="B52" s="404"/>
      <c r="C52" s="404"/>
      <c r="D52" s="404"/>
      <c r="E52" s="404"/>
      <c r="F52" s="404"/>
      <c r="G52" s="19">
        <v>169</v>
      </c>
      <c r="H52" s="20" t="s">
        <v>2985</v>
      </c>
      <c r="I52" s="71">
        <v>10785</v>
      </c>
      <c r="J52" s="71">
        <v>4383</v>
      </c>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2590</v>
      </c>
    </row>
    <row r="55" spans="1:10" s="2" customFormat="1" ht="13.5" customHeight="1">
      <c r="A55" s="404" t="s">
        <v>1442</v>
      </c>
      <c r="B55" s="404"/>
      <c r="C55" s="404"/>
      <c r="D55" s="404"/>
      <c r="E55" s="404"/>
      <c r="F55" s="404"/>
      <c r="G55" s="19">
        <v>172</v>
      </c>
      <c r="H55" s="20" t="s">
        <v>2985</v>
      </c>
      <c r="I55" s="71">
        <v>1814326</v>
      </c>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82714902</v>
      </c>
      <c r="J60" s="70">
        <f>J8+J37+J56+J57</f>
        <v>89645443</v>
      </c>
    </row>
    <row r="61" spans="1:10" s="2" customFormat="1" ht="13.5" customHeight="1">
      <c r="A61" s="383" t="s">
        <v>1845</v>
      </c>
      <c r="B61" s="383"/>
      <c r="C61" s="383"/>
      <c r="D61" s="383"/>
      <c r="E61" s="383"/>
      <c r="F61" s="383"/>
      <c r="G61" s="19">
        <v>178</v>
      </c>
      <c r="H61" s="20"/>
      <c r="I61" s="70">
        <f>I14+I48+I58+I59</f>
        <v>82234309</v>
      </c>
      <c r="J61" s="70">
        <f>J14+J48+J58+J59</f>
        <v>89308526</v>
      </c>
    </row>
    <row r="62" spans="1:12" s="2" customFormat="1" ht="13.5" customHeight="1">
      <c r="A62" s="383" t="s">
        <v>2580</v>
      </c>
      <c r="B62" s="383"/>
      <c r="C62" s="383"/>
      <c r="D62" s="383"/>
      <c r="E62" s="383"/>
      <c r="F62" s="383"/>
      <c r="G62" s="19">
        <v>179</v>
      </c>
      <c r="H62" s="20" t="s">
        <v>2986</v>
      </c>
      <c r="I62" s="70">
        <f>I60-I61</f>
        <v>480593</v>
      </c>
      <c r="J62" s="70">
        <f>J60-J61</f>
        <v>336917</v>
      </c>
      <c r="L62" s="2" t="s">
        <v>2590</v>
      </c>
    </row>
    <row r="63" spans="1:10" s="2" customFormat="1" ht="13.5" customHeight="1">
      <c r="A63" s="404" t="s">
        <v>2657</v>
      </c>
      <c r="B63" s="404"/>
      <c r="C63" s="404"/>
      <c r="D63" s="404"/>
      <c r="E63" s="404"/>
      <c r="F63" s="404"/>
      <c r="G63" s="19">
        <v>180</v>
      </c>
      <c r="H63" s="20"/>
      <c r="I63" s="70">
        <f>IF(I60&gt;I61,I60-I61,0)</f>
        <v>480593</v>
      </c>
      <c r="J63" s="70">
        <f>IF(J60&gt;J61,J60-J61,0)</f>
        <v>336917</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2619</v>
      </c>
      <c r="B65" s="383"/>
      <c r="C65" s="383"/>
      <c r="D65" s="383"/>
      <c r="E65" s="383"/>
      <c r="F65" s="383"/>
      <c r="G65" s="19">
        <v>182</v>
      </c>
      <c r="H65" s="20"/>
      <c r="I65" s="71">
        <v>465340</v>
      </c>
      <c r="J65" s="71">
        <v>284352</v>
      </c>
      <c r="L65" s="2" t="s">
        <v>2590</v>
      </c>
    </row>
    <row r="66" spans="1:12" s="2" customFormat="1" ht="13.5" customHeight="1">
      <c r="A66" s="383" t="s">
        <v>2581</v>
      </c>
      <c r="B66" s="383"/>
      <c r="C66" s="383"/>
      <c r="D66" s="383"/>
      <c r="E66" s="383"/>
      <c r="F66" s="383"/>
      <c r="G66" s="19">
        <v>183</v>
      </c>
      <c r="H66" s="20"/>
      <c r="I66" s="70">
        <f>I62-I65</f>
        <v>15253</v>
      </c>
      <c r="J66" s="70">
        <f>J62-J65</f>
        <v>52565</v>
      </c>
      <c r="L66" s="2" t="s">
        <v>2590</v>
      </c>
    </row>
    <row r="67" spans="1:10" s="2" customFormat="1" ht="13.5" customHeight="1">
      <c r="A67" s="404" t="s">
        <v>779</v>
      </c>
      <c r="B67" s="404"/>
      <c r="C67" s="404"/>
      <c r="D67" s="404"/>
      <c r="E67" s="404"/>
      <c r="F67" s="404"/>
      <c r="G67" s="19">
        <v>184</v>
      </c>
      <c r="H67" s="20"/>
      <c r="I67" s="70">
        <f>IF(I66&gt;0,I66,0)</f>
        <v>15253</v>
      </c>
      <c r="J67" s="70">
        <f>IF(J66&gt;0,J66,0)</f>
        <v>52565</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2590</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2590</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2590</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2590</v>
      </c>
    </row>
    <row r="81" spans="1:12" s="2" customFormat="1" ht="13.5" customHeight="1">
      <c r="A81" s="383" t="s">
        <v>2009</v>
      </c>
      <c r="B81" s="383"/>
      <c r="C81" s="383"/>
      <c r="D81" s="383"/>
      <c r="E81" s="383"/>
      <c r="F81" s="383"/>
      <c r="G81" s="19">
        <v>196</v>
      </c>
      <c r="H81" s="20"/>
      <c r="I81" s="70">
        <f>I82-I83</f>
        <v>0</v>
      </c>
      <c r="J81" s="70">
        <f>J82-J83</f>
        <v>0</v>
      </c>
      <c r="L81" s="2" t="s">
        <v>2590</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2851</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2590</v>
      </c>
    </row>
    <row r="86" spans="1:12" s="2" customFormat="1" ht="13.5" customHeight="1">
      <c r="A86" s="406" t="s">
        <v>2061</v>
      </c>
      <c r="B86" s="406"/>
      <c r="C86" s="406"/>
      <c r="D86" s="406"/>
      <c r="E86" s="406"/>
      <c r="F86" s="406"/>
      <c r="G86" s="19">
        <v>200</v>
      </c>
      <c r="H86" s="20"/>
      <c r="I86" s="77"/>
      <c r="J86" s="77"/>
      <c r="L86" s="2" t="s">
        <v>2590</v>
      </c>
    </row>
    <row r="87" spans="1:12" s="2" customFormat="1" ht="13.5" customHeight="1">
      <c r="A87" s="407" t="s">
        <v>1102</v>
      </c>
      <c r="B87" s="407"/>
      <c r="C87" s="407"/>
      <c r="D87" s="407"/>
      <c r="E87" s="407"/>
      <c r="F87" s="407"/>
      <c r="G87" s="21">
        <v>201</v>
      </c>
      <c r="H87" s="22"/>
      <c r="I87" s="78"/>
      <c r="J87" s="78"/>
      <c r="L87" s="2" t="s">
        <v>2590</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t="s">
        <v>2986</v>
      </c>
      <c r="I89" s="77">
        <v>15253</v>
      </c>
      <c r="J89" s="77">
        <v>52565</v>
      </c>
      <c r="L89" s="2" t="s">
        <v>2590</v>
      </c>
    </row>
    <row r="90" spans="1:12" s="2" customFormat="1" ht="25.5" customHeight="1">
      <c r="A90" s="405" t="s">
        <v>1473</v>
      </c>
      <c r="B90" s="405"/>
      <c r="C90" s="405"/>
      <c r="D90" s="405"/>
      <c r="E90" s="405"/>
      <c r="F90" s="405"/>
      <c r="G90" s="19">
        <v>203</v>
      </c>
      <c r="H90" s="20"/>
      <c r="I90" s="86">
        <f>SUM(I91:I98)</f>
        <v>0</v>
      </c>
      <c r="J90" s="86">
        <f>SUM(J91:J98)</f>
        <v>0</v>
      </c>
      <c r="L90" s="2" t="s">
        <v>2590</v>
      </c>
    </row>
    <row r="91" spans="1:12" s="2" customFormat="1" ht="13.5" customHeight="1">
      <c r="A91" s="404" t="s">
        <v>2062</v>
      </c>
      <c r="B91" s="404"/>
      <c r="C91" s="404"/>
      <c r="D91" s="404"/>
      <c r="E91" s="404"/>
      <c r="F91" s="404"/>
      <c r="G91" s="19">
        <v>204</v>
      </c>
      <c r="H91" s="20"/>
      <c r="I91" s="77"/>
      <c r="J91" s="77"/>
      <c r="L91" s="2" t="s">
        <v>2590</v>
      </c>
    </row>
    <row r="92" spans="1:12" s="2" customFormat="1" ht="25.5" customHeight="1">
      <c r="A92" s="404" t="s">
        <v>2063</v>
      </c>
      <c r="B92" s="404"/>
      <c r="C92" s="404"/>
      <c r="D92" s="404"/>
      <c r="E92" s="404"/>
      <c r="F92" s="404"/>
      <c r="G92" s="19">
        <v>205</v>
      </c>
      <c r="H92" s="20"/>
      <c r="I92" s="77"/>
      <c r="J92" s="77"/>
      <c r="L92" s="2" t="s">
        <v>2590</v>
      </c>
    </row>
    <row r="93" spans="1:12" s="2" customFormat="1" ht="26.25" customHeight="1">
      <c r="A93" s="404" t="s">
        <v>2064</v>
      </c>
      <c r="B93" s="404"/>
      <c r="C93" s="404"/>
      <c r="D93" s="404"/>
      <c r="E93" s="404"/>
      <c r="F93" s="404"/>
      <c r="G93" s="19">
        <v>206</v>
      </c>
      <c r="H93" s="20"/>
      <c r="I93" s="77"/>
      <c r="J93" s="77"/>
      <c r="L93" s="2" t="s">
        <v>2590</v>
      </c>
    </row>
    <row r="94" spans="1:12" s="2" customFormat="1" ht="13.5" customHeight="1">
      <c r="A94" s="404" t="s">
        <v>2065</v>
      </c>
      <c r="B94" s="404"/>
      <c r="C94" s="404"/>
      <c r="D94" s="404"/>
      <c r="E94" s="404"/>
      <c r="F94" s="404"/>
      <c r="G94" s="19">
        <v>207</v>
      </c>
      <c r="H94" s="20"/>
      <c r="I94" s="77"/>
      <c r="J94" s="77"/>
      <c r="L94" s="2" t="s">
        <v>2590</v>
      </c>
    </row>
    <row r="95" spans="1:12" s="2" customFormat="1" ht="13.5" customHeight="1">
      <c r="A95" s="404" t="s">
        <v>2066</v>
      </c>
      <c r="B95" s="404"/>
      <c r="C95" s="404"/>
      <c r="D95" s="404"/>
      <c r="E95" s="404"/>
      <c r="F95" s="404"/>
      <c r="G95" s="19">
        <v>208</v>
      </c>
      <c r="H95" s="20"/>
      <c r="I95" s="77"/>
      <c r="J95" s="77"/>
      <c r="L95" s="2" t="s">
        <v>2590</v>
      </c>
    </row>
    <row r="96" spans="1:12" s="2" customFormat="1" ht="25.5" customHeight="1">
      <c r="A96" s="404" t="s">
        <v>2067</v>
      </c>
      <c r="B96" s="404"/>
      <c r="C96" s="404"/>
      <c r="D96" s="404"/>
      <c r="E96" s="404"/>
      <c r="F96" s="404"/>
      <c r="G96" s="19">
        <v>209</v>
      </c>
      <c r="H96" s="20"/>
      <c r="I96" s="77"/>
      <c r="J96" s="77"/>
      <c r="L96" s="2" t="s">
        <v>2590</v>
      </c>
    </row>
    <row r="97" spans="1:12" s="2" customFormat="1" ht="13.5" customHeight="1">
      <c r="A97" s="404" t="s">
        <v>759</v>
      </c>
      <c r="B97" s="404"/>
      <c r="C97" s="404"/>
      <c r="D97" s="404"/>
      <c r="E97" s="404"/>
      <c r="F97" s="404"/>
      <c r="G97" s="19">
        <v>210</v>
      </c>
      <c r="H97" s="20"/>
      <c r="I97" s="77"/>
      <c r="J97" s="77"/>
      <c r="L97" s="2" t="s">
        <v>2590</v>
      </c>
    </row>
    <row r="98" spans="1:12" s="2" customFormat="1" ht="13.5" customHeight="1">
      <c r="A98" s="404" t="s">
        <v>1449</v>
      </c>
      <c r="B98" s="404"/>
      <c r="C98" s="404"/>
      <c r="D98" s="404"/>
      <c r="E98" s="404"/>
      <c r="F98" s="404"/>
      <c r="G98" s="19">
        <v>211</v>
      </c>
      <c r="H98" s="20"/>
      <c r="I98" s="77"/>
      <c r="J98" s="77"/>
      <c r="L98" s="2" t="s">
        <v>2590</v>
      </c>
    </row>
    <row r="99" spans="1:12" s="2" customFormat="1" ht="13.5" customHeight="1">
      <c r="A99" s="405" t="s">
        <v>2620</v>
      </c>
      <c r="B99" s="405"/>
      <c r="C99" s="405"/>
      <c r="D99" s="405"/>
      <c r="E99" s="405"/>
      <c r="F99" s="405"/>
      <c r="G99" s="19">
        <v>212</v>
      </c>
      <c r="H99" s="20"/>
      <c r="I99" s="77"/>
      <c r="J99" s="77"/>
      <c r="L99" s="2" t="s">
        <v>2590</v>
      </c>
    </row>
    <row r="100" spans="1:12" s="2" customFormat="1" ht="15" customHeight="1">
      <c r="A100" s="405" t="s">
        <v>1474</v>
      </c>
      <c r="B100" s="405"/>
      <c r="C100" s="405"/>
      <c r="D100" s="405"/>
      <c r="E100" s="405"/>
      <c r="F100" s="405"/>
      <c r="G100" s="19">
        <v>213</v>
      </c>
      <c r="H100" s="20"/>
      <c r="I100" s="86">
        <f>I90-I99</f>
        <v>0</v>
      </c>
      <c r="J100" s="86">
        <f>J90-J99</f>
        <v>0</v>
      </c>
      <c r="L100" s="2" t="s">
        <v>2590</v>
      </c>
    </row>
    <row r="101" spans="1:12" s="2" customFormat="1" ht="13.5" customHeight="1">
      <c r="A101" s="408" t="s">
        <v>1475</v>
      </c>
      <c r="B101" s="408"/>
      <c r="C101" s="408"/>
      <c r="D101" s="408"/>
      <c r="E101" s="408"/>
      <c r="F101" s="408"/>
      <c r="G101" s="21">
        <v>214</v>
      </c>
      <c r="H101" s="22"/>
      <c r="I101" s="87">
        <f>I89+I100</f>
        <v>15253</v>
      </c>
      <c r="J101" s="87">
        <f>J89+J100</f>
        <v>52565</v>
      </c>
      <c r="L101" s="2" t="s">
        <v>2590</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2590</v>
      </c>
    </row>
    <row r="104" spans="1:12" s="2" customFormat="1" ht="13.5" customHeight="1">
      <c r="A104" s="406" t="s">
        <v>2621</v>
      </c>
      <c r="B104" s="406"/>
      <c r="C104" s="406"/>
      <c r="D104" s="406"/>
      <c r="E104" s="406"/>
      <c r="F104" s="406"/>
      <c r="G104" s="19">
        <v>216</v>
      </c>
      <c r="H104" s="20"/>
      <c r="I104" s="77"/>
      <c r="J104" s="77"/>
      <c r="L104" s="2" t="s">
        <v>2590</v>
      </c>
    </row>
    <row r="105" spans="1:12" s="2" customFormat="1" ht="13.5" customHeight="1">
      <c r="A105" s="407" t="s">
        <v>1450</v>
      </c>
      <c r="B105" s="407"/>
      <c r="C105" s="407"/>
      <c r="D105" s="407"/>
      <c r="E105" s="407"/>
      <c r="F105" s="407"/>
      <c r="G105" s="21">
        <v>217</v>
      </c>
      <c r="H105" s="22"/>
      <c r="I105" s="78"/>
      <c r="J105" s="78"/>
      <c r="L105" s="2" t="s">
        <v>2590</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I79" sqref="I79:J84"/>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0</v>
      </c>
      <c r="R1" s="73" t="s">
        <v>539</v>
      </c>
    </row>
    <row r="2" spans="1:18" s="2" customFormat="1" ht="19.5" customHeight="1">
      <c r="A2" s="443" t="s">
        <v>568</v>
      </c>
      <c r="B2" s="444"/>
      <c r="C2" s="444"/>
      <c r="D2" s="444"/>
      <c r="E2" s="444"/>
      <c r="F2" s="444"/>
      <c r="G2" s="444"/>
      <c r="H2" s="444"/>
      <c r="I2" s="445"/>
      <c r="J2" s="385" t="s">
        <v>2592</v>
      </c>
      <c r="Q2" s="74">
        <f>IF(MAX(I9:I88)&gt;0,1,0)</f>
        <v>0</v>
      </c>
      <c r="R2" s="73" t="s">
        <v>2585</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0</v>
      </c>
      <c r="R3" s="73" t="s">
        <v>2586</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89406825003; VODOVOD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2899</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2900</v>
      </c>
      <c r="B25" s="425"/>
      <c r="C25" s="425"/>
      <c r="D25" s="425"/>
      <c r="E25" s="425"/>
      <c r="F25" s="425"/>
      <c r="G25" s="426"/>
      <c r="H25" s="92">
        <v>231</v>
      </c>
      <c r="I25" s="94"/>
      <c r="J25" s="94"/>
    </row>
    <row r="26" spans="1:10" s="2" customFormat="1" ht="24.75" customHeight="1">
      <c r="A26" s="404" t="s">
        <v>2214</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2215</v>
      </c>
      <c r="B33" s="404"/>
      <c r="C33" s="404"/>
      <c r="D33" s="404"/>
      <c r="E33" s="404"/>
      <c r="F33" s="404"/>
      <c r="G33" s="427"/>
      <c r="H33" s="19">
        <v>239</v>
      </c>
      <c r="I33" s="77"/>
      <c r="J33" s="77"/>
    </row>
    <row r="34" spans="1:10" s="2" customFormat="1" ht="36" customHeight="1">
      <c r="A34" s="404" t="s">
        <v>2216</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2901</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2217</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2218</v>
      </c>
      <c r="B51" s="404"/>
      <c r="C51" s="404"/>
      <c r="D51" s="404"/>
      <c r="E51" s="404"/>
      <c r="F51" s="404"/>
      <c r="G51" s="427"/>
      <c r="H51" s="19">
        <v>253</v>
      </c>
      <c r="I51" s="77"/>
      <c r="J51" s="77"/>
    </row>
    <row r="52" spans="1:10" s="2" customFormat="1" ht="24.75" customHeight="1">
      <c r="A52" s="404" t="s">
        <v>2442</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2433</v>
      </c>
      <c r="B55" s="404"/>
      <c r="C55" s="404"/>
      <c r="D55" s="404"/>
      <c r="E55" s="404"/>
      <c r="F55" s="404"/>
      <c r="G55" s="427"/>
      <c r="H55" s="19">
        <v>257</v>
      </c>
      <c r="I55" s="77"/>
      <c r="J55" s="77"/>
    </row>
    <row r="56" spans="1:10" s="2" customFormat="1" ht="13.5" customHeight="1">
      <c r="A56" s="404" t="s">
        <v>2434</v>
      </c>
      <c r="B56" s="404"/>
      <c r="C56" s="404"/>
      <c r="D56" s="404"/>
      <c r="E56" s="404"/>
      <c r="F56" s="404"/>
      <c r="G56" s="427"/>
      <c r="H56" s="19">
        <v>258</v>
      </c>
      <c r="I56" s="77"/>
      <c r="J56" s="77"/>
    </row>
    <row r="57" spans="1:10" s="2" customFormat="1" ht="25.5" customHeight="1">
      <c r="A57" s="404" t="s">
        <v>2443</v>
      </c>
      <c r="B57" s="404"/>
      <c r="C57" s="404"/>
      <c r="D57" s="404"/>
      <c r="E57" s="404"/>
      <c r="F57" s="404"/>
      <c r="G57" s="427"/>
      <c r="H57" s="19">
        <v>259</v>
      </c>
      <c r="I57" s="77"/>
      <c r="J57" s="77"/>
    </row>
    <row r="58" spans="1:10" s="2" customFormat="1" ht="13.5" customHeight="1">
      <c r="A58" s="404" t="s">
        <v>2435</v>
      </c>
      <c r="B58" s="404"/>
      <c r="C58" s="404"/>
      <c r="D58" s="404"/>
      <c r="E58" s="404"/>
      <c r="F58" s="404"/>
      <c r="G58" s="427"/>
      <c r="H58" s="19">
        <v>260</v>
      </c>
      <c r="I58" s="77"/>
      <c r="J58" s="77"/>
    </row>
    <row r="59" spans="1:10" s="2" customFormat="1" ht="13.5" customHeight="1">
      <c r="A59" s="404" t="s">
        <v>2436</v>
      </c>
      <c r="B59" s="404"/>
      <c r="C59" s="404"/>
      <c r="D59" s="404"/>
      <c r="E59" s="404"/>
      <c r="F59" s="404"/>
      <c r="G59" s="427"/>
      <c r="H59" s="19">
        <v>261</v>
      </c>
      <c r="I59" s="77"/>
      <c r="J59" s="77"/>
    </row>
    <row r="60" spans="1:10" s="2" customFormat="1" ht="13.5" customHeight="1">
      <c r="A60" s="404" t="s">
        <v>2437</v>
      </c>
      <c r="B60" s="404"/>
      <c r="C60" s="404"/>
      <c r="D60" s="404"/>
      <c r="E60" s="404"/>
      <c r="F60" s="404"/>
      <c r="G60" s="427"/>
      <c r="H60" s="19">
        <v>262</v>
      </c>
      <c r="I60" s="77"/>
      <c r="J60" s="77"/>
    </row>
    <row r="61" spans="1:10" s="2" customFormat="1" ht="13.5" customHeight="1">
      <c r="A61" s="431" t="s">
        <v>2444</v>
      </c>
      <c r="B61" s="431"/>
      <c r="C61" s="431"/>
      <c r="D61" s="431"/>
      <c r="E61" s="431"/>
      <c r="F61" s="431"/>
      <c r="G61" s="432"/>
      <c r="H61" s="19">
        <v>263</v>
      </c>
      <c r="I61" s="77"/>
      <c r="J61" s="77"/>
    </row>
    <row r="62" spans="1:10" s="2" customFormat="1" ht="13.5" customHeight="1">
      <c r="A62" s="404" t="s">
        <v>2438</v>
      </c>
      <c r="B62" s="404"/>
      <c r="C62" s="404"/>
      <c r="D62" s="404"/>
      <c r="E62" s="404"/>
      <c r="F62" s="404"/>
      <c r="G62" s="427"/>
      <c r="H62" s="19">
        <v>264</v>
      </c>
      <c r="I62" s="77"/>
      <c r="J62" s="77"/>
    </row>
    <row r="63" spans="1:10" s="2" customFormat="1" ht="13.5" customHeight="1">
      <c r="A63" s="404" t="s">
        <v>2439</v>
      </c>
      <c r="B63" s="404"/>
      <c r="C63" s="404"/>
      <c r="D63" s="404"/>
      <c r="E63" s="404"/>
      <c r="F63" s="404"/>
      <c r="G63" s="427"/>
      <c r="H63" s="19">
        <v>265</v>
      </c>
      <c r="I63" s="77"/>
      <c r="J63" s="77"/>
    </row>
    <row r="64" spans="1:10" s="2" customFormat="1" ht="13.5" customHeight="1">
      <c r="A64" s="404" t="s">
        <v>2440</v>
      </c>
      <c r="B64" s="404"/>
      <c r="C64" s="404"/>
      <c r="D64" s="404"/>
      <c r="E64" s="404"/>
      <c r="F64" s="404"/>
      <c r="G64" s="427"/>
      <c r="H64" s="19">
        <v>266</v>
      </c>
      <c r="I64" s="77"/>
      <c r="J64" s="77"/>
    </row>
    <row r="65" spans="1:10" s="2" customFormat="1" ht="13.5" customHeight="1">
      <c r="A65" s="404" t="s">
        <v>2441</v>
      </c>
      <c r="B65" s="404"/>
      <c r="C65" s="404"/>
      <c r="D65" s="404"/>
      <c r="E65" s="404"/>
      <c r="F65" s="404"/>
      <c r="G65" s="427"/>
      <c r="H65" s="19">
        <v>267</v>
      </c>
      <c r="I65" s="77"/>
      <c r="J65" s="77"/>
    </row>
    <row r="66" spans="1:10" s="2" customFormat="1" ht="13.5" customHeight="1">
      <c r="A66" s="431" t="s">
        <v>2902</v>
      </c>
      <c r="B66" s="431"/>
      <c r="C66" s="431"/>
      <c r="D66" s="431"/>
      <c r="E66" s="431"/>
      <c r="F66" s="431"/>
      <c r="G66" s="432"/>
      <c r="H66" s="19">
        <v>268</v>
      </c>
      <c r="I66" s="77"/>
      <c r="J66" s="77"/>
    </row>
    <row r="67" spans="1:10" s="2" customFormat="1" ht="24.75" customHeight="1">
      <c r="A67" s="404" t="s">
        <v>2219</v>
      </c>
      <c r="B67" s="404"/>
      <c r="C67" s="404"/>
      <c r="D67" s="404"/>
      <c r="E67" s="404"/>
      <c r="F67" s="404"/>
      <c r="G67" s="427"/>
      <c r="H67" s="19">
        <v>269</v>
      </c>
      <c r="I67" s="77"/>
      <c r="J67" s="77"/>
    </row>
    <row r="68" spans="1:10" s="2" customFormat="1" ht="13.5" customHeight="1">
      <c r="A68" s="404" t="s">
        <v>2447</v>
      </c>
      <c r="B68" s="404"/>
      <c r="C68" s="404"/>
      <c r="D68" s="404"/>
      <c r="E68" s="404"/>
      <c r="F68" s="404"/>
      <c r="G68" s="427"/>
      <c r="H68" s="19">
        <v>270</v>
      </c>
      <c r="I68" s="77"/>
      <c r="J68" s="77"/>
    </row>
    <row r="69" spans="1:10" s="2" customFormat="1" ht="13.5" customHeight="1">
      <c r="A69" s="404" t="s">
        <v>2446</v>
      </c>
      <c r="B69" s="404"/>
      <c r="C69" s="404"/>
      <c r="D69" s="404"/>
      <c r="E69" s="404"/>
      <c r="F69" s="404"/>
      <c r="G69" s="427"/>
      <c r="H69" s="19">
        <v>271</v>
      </c>
      <c r="I69" s="77"/>
      <c r="J69" s="77"/>
    </row>
    <row r="70" spans="1:10" s="2" customFormat="1" ht="24.75" customHeight="1">
      <c r="A70" s="404" t="s">
        <v>2445</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2220</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3" activePane="bottomLeft" state="frozen"/>
      <selection pane="topLeft" activeCell="A1" sqref="A1"/>
      <selection pane="bottomLeft" activeCell="J19" sqref="J19"/>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IF(OR(MIN(I8:J60)&lt;0,MAX(I8:J60)&gt;0),1,0)</f>
        <v>1</v>
      </c>
      <c r="R1" s="73" t="s">
        <v>539</v>
      </c>
    </row>
    <row r="2" spans="1:18" s="2" customFormat="1" ht="19.5" customHeight="1">
      <c r="A2" s="443" t="s">
        <v>1454</v>
      </c>
      <c r="B2" s="444"/>
      <c r="C2" s="444"/>
      <c r="D2" s="444"/>
      <c r="E2" s="444"/>
      <c r="F2" s="444"/>
      <c r="G2" s="444"/>
      <c r="H2" s="444"/>
      <c r="I2" s="449"/>
      <c r="J2" s="385" t="s">
        <v>2593</v>
      </c>
      <c r="Q2" s="74">
        <f>IF(OR(MIN(I8:I60)&lt;0,MAX(I8:I60)&gt;0),1,0)</f>
        <v>1</v>
      </c>
      <c r="R2" s="73" t="s">
        <v>2585</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1</v>
      </c>
      <c r="R3" s="73" t="s">
        <v>2586</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89406825003; VODOVOD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t="s">
        <v>2986</v>
      </c>
      <c r="I9" s="142">
        <v>480593</v>
      </c>
      <c r="J9" s="142">
        <v>336917</v>
      </c>
    </row>
    <row r="10" spans="1:10" s="2" customFormat="1" ht="13.5" customHeight="1">
      <c r="A10" s="404" t="s">
        <v>238</v>
      </c>
      <c r="B10" s="404"/>
      <c r="C10" s="404"/>
      <c r="D10" s="404"/>
      <c r="E10" s="404"/>
      <c r="F10" s="404"/>
      <c r="G10" s="19">
        <v>2</v>
      </c>
      <c r="H10" s="23"/>
      <c r="I10" s="125">
        <f>SUM(I11:I18)</f>
        <v>10424006</v>
      </c>
      <c r="J10" s="125">
        <f>SUM(J11:J18)</f>
        <v>7918072</v>
      </c>
    </row>
    <row r="11" spans="1:10" s="2" customFormat="1" ht="13.5" customHeight="1">
      <c r="A11" s="431" t="s">
        <v>2334</v>
      </c>
      <c r="B11" s="431"/>
      <c r="C11" s="431"/>
      <c r="D11" s="431"/>
      <c r="E11" s="431"/>
      <c r="F11" s="431"/>
      <c r="G11" s="19">
        <v>3</v>
      </c>
      <c r="H11" s="23" t="s">
        <v>2967</v>
      </c>
      <c r="I11" s="126">
        <v>16805848</v>
      </c>
      <c r="J11" s="126">
        <v>16658639</v>
      </c>
    </row>
    <row r="12" spans="1:10" s="2" customFormat="1" ht="24.75" customHeight="1">
      <c r="A12" s="431" t="s">
        <v>2909</v>
      </c>
      <c r="B12" s="431"/>
      <c r="C12" s="431"/>
      <c r="D12" s="431"/>
      <c r="E12" s="431"/>
      <c r="F12" s="431"/>
      <c r="G12" s="19">
        <v>4</v>
      </c>
      <c r="H12" s="23"/>
      <c r="I12" s="126"/>
      <c r="J12" s="126"/>
    </row>
    <row r="13" spans="1:10" s="2" customFormat="1" ht="24.75" customHeight="1">
      <c r="A13" s="431" t="s">
        <v>2910</v>
      </c>
      <c r="B13" s="431"/>
      <c r="C13" s="431"/>
      <c r="D13" s="431"/>
      <c r="E13" s="431"/>
      <c r="F13" s="431"/>
      <c r="G13" s="19">
        <v>5</v>
      </c>
      <c r="H13" s="23" t="s">
        <v>2968</v>
      </c>
      <c r="I13" s="126">
        <v>1814325</v>
      </c>
      <c r="J13" s="126">
        <v>-21809</v>
      </c>
    </row>
    <row r="14" spans="1:12" s="2" customFormat="1" ht="13.5" customHeight="1">
      <c r="A14" s="431" t="s">
        <v>2335</v>
      </c>
      <c r="B14" s="431"/>
      <c r="C14" s="431"/>
      <c r="D14" s="431"/>
      <c r="E14" s="431"/>
      <c r="F14" s="431"/>
      <c r="G14" s="19">
        <v>6</v>
      </c>
      <c r="H14" s="23" t="s">
        <v>2984</v>
      </c>
      <c r="I14" s="126">
        <v>-1155186</v>
      </c>
      <c r="J14" s="126">
        <v>-1776253</v>
      </c>
      <c r="L14" s="73"/>
    </row>
    <row r="15" spans="1:10" s="2" customFormat="1" ht="13.5" customHeight="1">
      <c r="A15" s="431" t="s">
        <v>2336</v>
      </c>
      <c r="B15" s="431"/>
      <c r="C15" s="431"/>
      <c r="D15" s="431"/>
      <c r="E15" s="431"/>
      <c r="F15" s="431"/>
      <c r="G15" s="19">
        <v>7</v>
      </c>
      <c r="H15" s="23" t="s">
        <v>2985</v>
      </c>
      <c r="I15" s="126">
        <v>43185</v>
      </c>
      <c r="J15" s="126">
        <v>75253</v>
      </c>
    </row>
    <row r="16" spans="1:10" s="2" customFormat="1" ht="13.5" customHeight="1">
      <c r="A16" s="431" t="s">
        <v>2337</v>
      </c>
      <c r="B16" s="431"/>
      <c r="C16" s="431"/>
      <c r="D16" s="431"/>
      <c r="E16" s="431"/>
      <c r="F16" s="431"/>
      <c r="G16" s="19">
        <v>8</v>
      </c>
      <c r="H16" s="23"/>
      <c r="I16" s="126"/>
      <c r="J16" s="126"/>
    </row>
    <row r="17" spans="1:10" s="2" customFormat="1" ht="13.5" customHeight="1">
      <c r="A17" s="431" t="s">
        <v>2338</v>
      </c>
      <c r="B17" s="431"/>
      <c r="C17" s="431"/>
      <c r="D17" s="431"/>
      <c r="E17" s="431"/>
      <c r="F17" s="431"/>
      <c r="G17" s="19">
        <v>9</v>
      </c>
      <c r="H17" s="23"/>
      <c r="I17" s="126"/>
      <c r="J17" s="126"/>
    </row>
    <row r="18" spans="1:10" s="2" customFormat="1" ht="13.5" customHeight="1">
      <c r="A18" s="431" t="s">
        <v>2908</v>
      </c>
      <c r="B18" s="431"/>
      <c r="C18" s="431"/>
      <c r="D18" s="431"/>
      <c r="E18" s="431"/>
      <c r="F18" s="431"/>
      <c r="G18" s="19">
        <v>10</v>
      </c>
      <c r="H18" s="23"/>
      <c r="I18" s="126">
        <v>-7084166</v>
      </c>
      <c r="J18" s="126">
        <v>-7017758</v>
      </c>
    </row>
    <row r="19" spans="1:14" s="2" customFormat="1" ht="24.75" customHeight="1">
      <c r="A19" s="405" t="s">
        <v>2907</v>
      </c>
      <c r="B19" s="405"/>
      <c r="C19" s="405"/>
      <c r="D19" s="405"/>
      <c r="E19" s="405"/>
      <c r="F19" s="405"/>
      <c r="G19" s="19">
        <v>11</v>
      </c>
      <c r="H19" s="23"/>
      <c r="I19" s="125">
        <f>I9+I10</f>
        <v>10904599</v>
      </c>
      <c r="J19" s="125">
        <f>J9+J10</f>
        <v>8254989</v>
      </c>
      <c r="N19" s="2">
        <f>IF(MIN(NT_I!I11:J11,NT_I!I15:J15,NT_I!I30:J36,NT_I!I59:J60)&lt;0,1,0)</f>
        <v>0</v>
      </c>
    </row>
    <row r="20" spans="1:10" s="2" customFormat="1" ht="13.5" customHeight="1">
      <c r="A20" s="404" t="s">
        <v>461</v>
      </c>
      <c r="B20" s="404"/>
      <c r="C20" s="404"/>
      <c r="D20" s="404"/>
      <c r="E20" s="404"/>
      <c r="F20" s="404"/>
      <c r="G20" s="19">
        <v>12</v>
      </c>
      <c r="H20" s="23"/>
      <c r="I20" s="125">
        <f>SUM(I21:I24)</f>
        <v>-3011891</v>
      </c>
      <c r="J20" s="125">
        <f>SUM(J21:J24)</f>
        <v>938756</v>
      </c>
    </row>
    <row r="21" spans="1:10" s="2" customFormat="1" ht="13.5" customHeight="1">
      <c r="A21" s="431" t="s">
        <v>2052</v>
      </c>
      <c r="B21" s="431"/>
      <c r="C21" s="431"/>
      <c r="D21" s="431"/>
      <c r="E21" s="431"/>
      <c r="F21" s="431"/>
      <c r="G21" s="19">
        <v>13</v>
      </c>
      <c r="H21" s="23" t="s">
        <v>2977</v>
      </c>
      <c r="I21" s="126">
        <v>-1959846</v>
      </c>
      <c r="J21" s="126">
        <v>3230762</v>
      </c>
    </row>
    <row r="22" spans="1:10" s="2" customFormat="1" ht="13.5" customHeight="1">
      <c r="A22" s="431" t="s">
        <v>2053</v>
      </c>
      <c r="B22" s="431"/>
      <c r="C22" s="431"/>
      <c r="D22" s="431"/>
      <c r="E22" s="431"/>
      <c r="F22" s="431"/>
      <c r="G22" s="19">
        <v>14</v>
      </c>
      <c r="H22" s="23" t="s">
        <v>2969</v>
      </c>
      <c r="I22" s="126">
        <v>466491</v>
      </c>
      <c r="J22" s="126">
        <v>-1506701</v>
      </c>
    </row>
    <row r="23" spans="1:10" s="2" customFormat="1" ht="13.5" customHeight="1">
      <c r="A23" s="431" t="s">
        <v>2054</v>
      </c>
      <c r="B23" s="431"/>
      <c r="C23" s="431"/>
      <c r="D23" s="431"/>
      <c r="E23" s="431"/>
      <c r="F23" s="431"/>
      <c r="G23" s="19">
        <v>15</v>
      </c>
      <c r="H23" s="23" t="s">
        <v>2970</v>
      </c>
      <c r="I23" s="126">
        <v>-1071410</v>
      </c>
      <c r="J23" s="126">
        <v>-389694</v>
      </c>
    </row>
    <row r="24" spans="1:10" s="2" customFormat="1" ht="13.5" customHeight="1">
      <c r="A24" s="431" t="s">
        <v>2055</v>
      </c>
      <c r="B24" s="431"/>
      <c r="C24" s="431"/>
      <c r="D24" s="431"/>
      <c r="E24" s="431"/>
      <c r="F24" s="431"/>
      <c r="G24" s="19">
        <v>16</v>
      </c>
      <c r="H24" s="23"/>
      <c r="I24" s="126">
        <v>-447126</v>
      </c>
      <c r="J24" s="126">
        <v>-395611</v>
      </c>
    </row>
    <row r="25" spans="1:10" s="2" customFormat="1" ht="13.5" customHeight="1">
      <c r="A25" s="405" t="s">
        <v>2523</v>
      </c>
      <c r="B25" s="405"/>
      <c r="C25" s="405"/>
      <c r="D25" s="405"/>
      <c r="E25" s="405"/>
      <c r="F25" s="405"/>
      <c r="G25" s="19">
        <v>17</v>
      </c>
      <c r="H25" s="23"/>
      <c r="I25" s="125">
        <f>I19+I20</f>
        <v>7892708</v>
      </c>
      <c r="J25" s="125">
        <f>J19+J20</f>
        <v>9193745</v>
      </c>
    </row>
    <row r="26" spans="1:10" s="2" customFormat="1" ht="13.5" customHeight="1">
      <c r="A26" s="404" t="s">
        <v>226</v>
      </c>
      <c r="B26" s="404"/>
      <c r="C26" s="404"/>
      <c r="D26" s="404"/>
      <c r="E26" s="404"/>
      <c r="F26" s="404"/>
      <c r="G26" s="19">
        <v>18</v>
      </c>
      <c r="H26" s="23" t="s">
        <v>2985</v>
      </c>
      <c r="I26" s="126">
        <v>-43185</v>
      </c>
      <c r="J26" s="126">
        <v>-75253</v>
      </c>
    </row>
    <row r="27" spans="1:10" s="2" customFormat="1" ht="13.5" customHeight="1">
      <c r="A27" s="404" t="s">
        <v>227</v>
      </c>
      <c r="B27" s="404"/>
      <c r="C27" s="404"/>
      <c r="D27" s="404"/>
      <c r="E27" s="404"/>
      <c r="F27" s="404"/>
      <c r="G27" s="19">
        <v>19</v>
      </c>
      <c r="H27" s="23" t="s">
        <v>2986</v>
      </c>
      <c r="I27" s="126">
        <v>-666011</v>
      </c>
      <c r="J27" s="126">
        <v>-284352</v>
      </c>
    </row>
    <row r="28" spans="1:10" s="2" customFormat="1" ht="13.5" customHeight="1">
      <c r="A28" s="455" t="s">
        <v>237</v>
      </c>
      <c r="B28" s="455"/>
      <c r="C28" s="455"/>
      <c r="D28" s="455"/>
      <c r="E28" s="455"/>
      <c r="F28" s="455"/>
      <c r="G28" s="21">
        <v>20</v>
      </c>
      <c r="H28" s="24"/>
      <c r="I28" s="127">
        <f>SUM(I25:I27)</f>
        <v>7183512</v>
      </c>
      <c r="J28" s="127">
        <f>SUM(J25:J27)</f>
        <v>8834140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t="s">
        <v>2976</v>
      </c>
      <c r="I35" s="77">
        <v>7132118</v>
      </c>
      <c r="J35" s="77">
        <v>10226015</v>
      </c>
    </row>
    <row r="36" spans="1:10" s="2" customFormat="1" ht="13.5" customHeight="1">
      <c r="A36" s="405" t="s">
        <v>2522</v>
      </c>
      <c r="B36" s="405"/>
      <c r="C36" s="405"/>
      <c r="D36" s="405"/>
      <c r="E36" s="405"/>
      <c r="F36" s="405"/>
      <c r="G36" s="19">
        <v>27</v>
      </c>
      <c r="H36" s="23"/>
      <c r="I36" s="86">
        <f>SUM(I30:I35)</f>
        <v>7132118</v>
      </c>
      <c r="J36" s="86">
        <f>SUM(J30:J35)</f>
        <v>10226015</v>
      </c>
    </row>
    <row r="37" spans="1:10" s="2" customFormat="1" ht="13.5" customHeight="1">
      <c r="A37" s="404" t="s">
        <v>233</v>
      </c>
      <c r="B37" s="404"/>
      <c r="C37" s="404"/>
      <c r="D37" s="404"/>
      <c r="E37" s="404"/>
      <c r="F37" s="404"/>
      <c r="G37" s="19">
        <v>28</v>
      </c>
      <c r="H37" s="23" t="s">
        <v>2967</v>
      </c>
      <c r="I37" s="77">
        <v>-12516518</v>
      </c>
      <c r="J37" s="77">
        <v>-24918842</v>
      </c>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2425</v>
      </c>
      <c r="B42" s="405"/>
      <c r="C42" s="405"/>
      <c r="D42" s="405"/>
      <c r="E42" s="405"/>
      <c r="F42" s="405"/>
      <c r="G42" s="19">
        <v>33</v>
      </c>
      <c r="H42" s="23"/>
      <c r="I42" s="86">
        <f>SUM(I37:I41)</f>
        <v>-12516518</v>
      </c>
      <c r="J42" s="86">
        <f>SUM(J37:J41)</f>
        <v>-24918842</v>
      </c>
    </row>
    <row r="43" spans="1:10" s="2" customFormat="1" ht="13.5" customHeight="1">
      <c r="A43" s="455" t="s">
        <v>2510</v>
      </c>
      <c r="B43" s="455"/>
      <c r="C43" s="455"/>
      <c r="D43" s="455"/>
      <c r="E43" s="455"/>
      <c r="F43" s="455"/>
      <c r="G43" s="21">
        <v>34</v>
      </c>
      <c r="H43" s="24"/>
      <c r="I43" s="87">
        <f>I36+I42</f>
        <v>-5384400</v>
      </c>
      <c r="J43" s="87">
        <f>J36+J42</f>
        <v>-14692827</v>
      </c>
    </row>
    <row r="44" spans="1:10" s="2" customFormat="1" ht="15" customHeight="1">
      <c r="A44" s="422" t="s">
        <v>2426</v>
      </c>
      <c r="B44" s="423"/>
      <c r="C44" s="423"/>
      <c r="D44" s="423"/>
      <c r="E44" s="423"/>
      <c r="F44" s="423"/>
      <c r="G44" s="423"/>
      <c r="H44" s="423"/>
      <c r="I44" s="423"/>
      <c r="J44" s="424"/>
    </row>
    <row r="45" spans="1:10" s="2" customFormat="1" ht="13.5" customHeight="1">
      <c r="A45" s="425" t="s">
        <v>2429</v>
      </c>
      <c r="B45" s="425"/>
      <c r="C45" s="425"/>
      <c r="D45" s="425"/>
      <c r="E45" s="425"/>
      <c r="F45" s="425"/>
      <c r="G45" s="92">
        <v>35</v>
      </c>
      <c r="H45" s="124"/>
      <c r="I45" s="94"/>
      <c r="J45" s="94"/>
    </row>
    <row r="46" spans="1:10" s="2" customFormat="1" ht="13.5" customHeight="1">
      <c r="A46" s="404" t="s">
        <v>2430</v>
      </c>
      <c r="B46" s="404"/>
      <c r="C46" s="404"/>
      <c r="D46" s="404"/>
      <c r="E46" s="404"/>
      <c r="F46" s="404"/>
      <c r="G46" s="19">
        <v>36</v>
      </c>
      <c r="H46" s="23"/>
      <c r="I46" s="77"/>
      <c r="J46" s="77"/>
    </row>
    <row r="47" spans="1:10" s="2" customFormat="1" ht="13.5" customHeight="1">
      <c r="A47" s="404" t="s">
        <v>2431</v>
      </c>
      <c r="B47" s="404"/>
      <c r="C47" s="404"/>
      <c r="D47" s="404"/>
      <c r="E47" s="404"/>
      <c r="F47" s="404"/>
      <c r="G47" s="19">
        <v>37</v>
      </c>
      <c r="H47" s="23"/>
      <c r="I47" s="77"/>
      <c r="J47" s="77"/>
    </row>
    <row r="48" spans="1:10" s="2" customFormat="1" ht="13.5" customHeight="1">
      <c r="A48" s="404" t="s">
        <v>2432</v>
      </c>
      <c r="B48" s="404"/>
      <c r="C48" s="404"/>
      <c r="D48" s="404"/>
      <c r="E48" s="404"/>
      <c r="F48" s="404"/>
      <c r="G48" s="19">
        <v>38</v>
      </c>
      <c r="H48" s="23" t="s">
        <v>2975</v>
      </c>
      <c r="I48" s="77">
        <v>1411662</v>
      </c>
      <c r="J48" s="77">
        <v>305000</v>
      </c>
    </row>
    <row r="49" spans="1:10" s="2" customFormat="1" ht="13.5" customHeight="1">
      <c r="A49" s="405" t="s">
        <v>2521</v>
      </c>
      <c r="B49" s="405"/>
      <c r="C49" s="405"/>
      <c r="D49" s="405"/>
      <c r="E49" s="405"/>
      <c r="F49" s="405"/>
      <c r="G49" s="19">
        <v>39</v>
      </c>
      <c r="H49" s="23"/>
      <c r="I49" s="86">
        <f>SUM(I45:I48)</f>
        <v>1411662</v>
      </c>
      <c r="J49" s="86">
        <f>SUM(J45:J48)</f>
        <v>305000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t="s">
        <v>2975</v>
      </c>
      <c r="I52" s="77">
        <v>-785829</v>
      </c>
      <c r="J52" s="77">
        <v>-777627</v>
      </c>
    </row>
    <row r="53" spans="1:10" s="2" customFormat="1" ht="13.5" customHeight="1">
      <c r="A53" s="404" t="s">
        <v>1737</v>
      </c>
      <c r="B53" s="404"/>
      <c r="C53" s="404"/>
      <c r="D53" s="404"/>
      <c r="E53" s="404"/>
      <c r="F53" s="404"/>
      <c r="G53" s="19">
        <v>43</v>
      </c>
      <c r="H53" s="23"/>
      <c r="I53" s="77"/>
      <c r="J53" s="77"/>
    </row>
    <row r="54" spans="1:10" s="2" customFormat="1" ht="13.5" customHeight="1">
      <c r="A54" s="404" t="s">
        <v>2911</v>
      </c>
      <c r="B54" s="404"/>
      <c r="C54" s="404"/>
      <c r="D54" s="404"/>
      <c r="E54" s="404"/>
      <c r="F54" s="404"/>
      <c r="G54" s="19">
        <v>44</v>
      </c>
      <c r="H54" s="23"/>
      <c r="I54" s="77"/>
      <c r="J54" s="77"/>
    </row>
    <row r="55" spans="1:10" s="2" customFormat="1" ht="13.5" customHeight="1">
      <c r="A55" s="405" t="s">
        <v>2912</v>
      </c>
      <c r="B55" s="405"/>
      <c r="C55" s="405"/>
      <c r="D55" s="405"/>
      <c r="E55" s="405"/>
      <c r="F55" s="405"/>
      <c r="G55" s="19">
        <v>45</v>
      </c>
      <c r="H55" s="23"/>
      <c r="I55" s="86">
        <f>SUM(I50:I54)</f>
        <v>-785829</v>
      </c>
      <c r="J55" s="86">
        <f>SUM(J50:J54)</f>
        <v>-777627</v>
      </c>
    </row>
    <row r="56" spans="1:10" s="2" customFormat="1" ht="13.5" customHeight="1">
      <c r="A56" s="409" t="s">
        <v>9</v>
      </c>
      <c r="B56" s="409"/>
      <c r="C56" s="409"/>
      <c r="D56" s="409"/>
      <c r="E56" s="409"/>
      <c r="F56" s="409"/>
      <c r="G56" s="19">
        <v>46</v>
      </c>
      <c r="H56" s="23"/>
      <c r="I56" s="86">
        <f>I49+I55</f>
        <v>625833</v>
      </c>
      <c r="J56" s="86">
        <f>J49+J55</f>
        <v>-472627</v>
      </c>
    </row>
    <row r="57" spans="1:10" s="2" customFormat="1" ht="13.5" customHeight="1">
      <c r="A57" s="381" t="s">
        <v>2427</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t="s">
        <v>2973</v>
      </c>
      <c r="I58" s="86">
        <f>I28+I43+I56+I57</f>
        <v>2424945</v>
      </c>
      <c r="J58" s="86">
        <f>J28+J43+J56+J57</f>
        <v>-6331314</v>
      </c>
    </row>
    <row r="59" spans="1:10" s="2" customFormat="1" ht="13.5" customHeight="1">
      <c r="A59" s="409" t="s">
        <v>2428</v>
      </c>
      <c r="B59" s="409"/>
      <c r="C59" s="409"/>
      <c r="D59" s="409"/>
      <c r="E59" s="409"/>
      <c r="F59" s="409"/>
      <c r="G59" s="19">
        <v>49</v>
      </c>
      <c r="H59" s="23" t="s">
        <v>2973</v>
      </c>
      <c r="I59" s="77">
        <v>13932534</v>
      </c>
      <c r="J59" s="77">
        <v>16357479</v>
      </c>
    </row>
    <row r="60" spans="1:18" s="2" customFormat="1" ht="13.5" customHeight="1">
      <c r="A60" s="455" t="s">
        <v>1734</v>
      </c>
      <c r="B60" s="455"/>
      <c r="C60" s="455"/>
      <c r="D60" s="455"/>
      <c r="E60" s="455"/>
      <c r="F60" s="455"/>
      <c r="G60" s="21">
        <v>50</v>
      </c>
      <c r="H60" s="24"/>
      <c r="I60" s="87">
        <f>I59+I58</f>
        <v>16357479</v>
      </c>
      <c r="J60" s="87">
        <f>J59+J58</f>
        <v>10026165</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2594</v>
      </c>
      <c r="Q2" s="74">
        <f>IF(OR(MIN(I8:I52)&lt;0,MAX(I8:I52)&gt;0),1,0)</f>
        <v>0</v>
      </c>
      <c r="R2" s="73" t="s">
        <v>2585</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2586</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89406825003; VODOVOD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2526</v>
      </c>
      <c r="B9" s="425"/>
      <c r="C9" s="425"/>
      <c r="D9" s="425"/>
      <c r="E9" s="425"/>
      <c r="F9" s="425"/>
      <c r="G9" s="92">
        <v>1</v>
      </c>
      <c r="H9" s="124"/>
      <c r="I9" s="94"/>
      <c r="J9" s="94"/>
    </row>
    <row r="10" spans="1:10" s="2" customFormat="1" ht="13.5" customHeight="1">
      <c r="A10" s="404" t="s">
        <v>2527</v>
      </c>
      <c r="B10" s="404"/>
      <c r="C10" s="404"/>
      <c r="D10" s="404"/>
      <c r="E10" s="404"/>
      <c r="F10" s="404"/>
      <c r="G10" s="19">
        <v>2</v>
      </c>
      <c r="H10" s="23"/>
      <c r="I10" s="77"/>
      <c r="J10" s="77"/>
    </row>
    <row r="11" spans="1:10" s="2" customFormat="1" ht="13.5" customHeight="1">
      <c r="A11" s="404" t="s">
        <v>2528</v>
      </c>
      <c r="B11" s="404"/>
      <c r="C11" s="404"/>
      <c r="D11" s="404"/>
      <c r="E11" s="404"/>
      <c r="F11" s="404"/>
      <c r="G11" s="19">
        <v>3</v>
      </c>
      <c r="H11" s="23"/>
      <c r="I11" s="77"/>
      <c r="J11" s="77"/>
    </row>
    <row r="12" spans="1:10" s="2" customFormat="1" ht="13.5" customHeight="1">
      <c r="A12" s="404" t="s">
        <v>2529</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2524</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2525</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2426</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2428</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tabSelected="1" zoomScalePageLayoutView="0" workbookViewId="0" topLeftCell="C1">
      <pane ySplit="1" topLeftCell="A2" activePane="bottomLeft" state="frozen"/>
      <selection pane="topLeft" activeCell="A1" sqref="A1"/>
      <selection pane="bottomLeft" activeCell="T41" sqref="T4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2366</v>
      </c>
      <c r="H1" s="67" t="s">
        <v>2367</v>
      </c>
      <c r="I1" s="67" t="s">
        <v>542</v>
      </c>
      <c r="J1" s="68" t="s">
        <v>498</v>
      </c>
      <c r="AA1" s="134">
        <f>MAX(AA2:AA3)</f>
        <v>1</v>
      </c>
      <c r="AB1" s="134" t="s">
        <v>539</v>
      </c>
    </row>
    <row r="2" spans="1:28" s="3" customFormat="1" ht="19.5" customHeight="1">
      <c r="A2" s="474" t="s">
        <v>1703</v>
      </c>
      <c r="B2" s="474"/>
      <c r="C2" s="474"/>
      <c r="D2" s="474"/>
      <c r="E2" s="474"/>
      <c r="F2" s="474"/>
      <c r="G2" s="475"/>
      <c r="H2" s="475"/>
      <c r="I2" s="135"/>
      <c r="J2" s="135"/>
      <c r="K2" s="135"/>
      <c r="L2" s="135"/>
      <c r="M2" s="135"/>
      <c r="N2" s="135"/>
      <c r="O2" s="136"/>
      <c r="P2" s="385" t="s">
        <v>2595</v>
      </c>
      <c r="Q2" s="464"/>
      <c r="R2" s="464"/>
      <c r="S2" s="464"/>
      <c r="T2" s="464"/>
      <c r="U2" s="464"/>
      <c r="V2" s="464"/>
      <c r="W2" s="465"/>
      <c r="X2" s="385" t="s">
        <v>2595</v>
      </c>
      <c r="AA2" s="3">
        <f>IF(OR(MAX(H10:X32)&lt;&gt;0,MIN(H10:X32)&lt;&gt;0),1,0)</f>
        <v>1</v>
      </c>
      <c r="AB2" s="3" t="s">
        <v>2597</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89406825003; VODOVOD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2893</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2598</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1</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2244</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v>159483800</v>
      </c>
      <c r="J10" s="25"/>
      <c r="K10" s="25"/>
      <c r="L10" s="25"/>
      <c r="M10" s="25"/>
      <c r="N10" s="25"/>
      <c r="O10" s="25"/>
      <c r="P10" s="25"/>
      <c r="Q10" s="25"/>
      <c r="R10" s="25"/>
      <c r="S10" s="25"/>
      <c r="T10" s="25">
        <v>273874</v>
      </c>
      <c r="U10" s="25">
        <v>98825</v>
      </c>
      <c r="V10" s="207">
        <f>SUM(I10:L10)-M10+SUM(N10:U10)</f>
        <v>159856499</v>
      </c>
      <c r="W10" s="25"/>
      <c r="X10" s="207">
        <f>W10+V10</f>
        <v>159856499</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159483800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273874</v>
      </c>
      <c r="U13" s="207">
        <f t="shared" si="2"/>
        <v>98825</v>
      </c>
      <c r="V13" s="207">
        <f t="shared" si="0"/>
        <v>159856499</v>
      </c>
      <c r="W13" s="207">
        <f>SUM(W10:W12)</f>
        <v>0</v>
      </c>
      <c r="X13" s="207">
        <f t="shared" si="1"/>
        <v>159856499</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v>15253</v>
      </c>
      <c r="V14" s="207">
        <f t="shared" si="0"/>
        <v>15253</v>
      </c>
      <c r="W14" s="25"/>
      <c r="X14" s="207">
        <f t="shared" si="1"/>
        <v>15253</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v>98825</v>
      </c>
      <c r="U30" s="25">
        <v>-98825</v>
      </c>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2561</v>
      </c>
      <c r="B32" s="478"/>
      <c r="C32" s="478"/>
      <c r="D32" s="478"/>
      <c r="E32" s="478"/>
      <c r="F32" s="478"/>
      <c r="G32" s="205">
        <v>23</v>
      </c>
      <c r="H32" s="133"/>
      <c r="I32" s="206">
        <f>SUM(I13:I31)</f>
        <v>159483800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372699</v>
      </c>
      <c r="U32" s="206">
        <f t="shared" si="3"/>
        <v>15253</v>
      </c>
      <c r="V32" s="206">
        <f t="shared" si="0"/>
        <v>159871752</v>
      </c>
      <c r="W32" s="206">
        <f>SUM(W13:W31)</f>
        <v>0</v>
      </c>
      <c r="X32" s="206">
        <f t="shared" si="1"/>
        <v>159871752</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2557</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2558</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15253</v>
      </c>
      <c r="V35" s="207">
        <f t="shared" si="7"/>
        <v>15253</v>
      </c>
      <c r="W35" s="207">
        <f t="shared" si="7"/>
        <v>0</v>
      </c>
      <c r="X35" s="207">
        <f t="shared" si="7"/>
        <v>15253</v>
      </c>
      <c r="AB35" s="139"/>
      <c r="AC35" s="134"/>
    </row>
    <row r="36" spans="1:29" s="3" customFormat="1" ht="25.5" customHeight="1">
      <c r="A36" s="485" t="s">
        <v>2562</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98825</v>
      </c>
      <c r="U36" s="206">
        <f t="shared" si="9"/>
        <v>-98825</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v>159483800</v>
      </c>
      <c r="J38" s="25"/>
      <c r="K38" s="25"/>
      <c r="L38" s="25"/>
      <c r="M38" s="25"/>
      <c r="N38" s="25"/>
      <c r="O38" s="25"/>
      <c r="P38" s="25"/>
      <c r="Q38" s="25"/>
      <c r="R38" s="25"/>
      <c r="S38" s="25"/>
      <c r="T38" s="25">
        <v>372699</v>
      </c>
      <c r="U38" s="25">
        <v>15253</v>
      </c>
      <c r="V38" s="207">
        <f aca="true" t="shared" si="10" ref="V38:V60">SUM(I38:L38)-M38+SUM(N38:U38)</f>
        <v>159871752</v>
      </c>
      <c r="W38" s="25"/>
      <c r="X38" s="207">
        <f t="shared" si="1"/>
        <v>159871752</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v>39507</v>
      </c>
      <c r="U40" s="25"/>
      <c r="V40" s="207">
        <f t="shared" si="10"/>
        <v>39507</v>
      </c>
      <c r="W40" s="25"/>
      <c r="X40" s="207">
        <f t="shared" si="1"/>
        <v>39507</v>
      </c>
      <c r="AB40" s="139"/>
    </row>
    <row r="41" spans="1:31" ht="13.5" customHeight="1">
      <c r="A41" s="462" t="s">
        <v>837</v>
      </c>
      <c r="B41" s="462"/>
      <c r="C41" s="462"/>
      <c r="D41" s="462"/>
      <c r="E41" s="462"/>
      <c r="F41" s="462"/>
      <c r="G41" s="204">
        <v>30</v>
      </c>
      <c r="H41" s="132"/>
      <c r="I41" s="207">
        <f aca="true" t="shared" si="11" ref="I41:U41">SUM(I38:I40)</f>
        <v>159483800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412206</v>
      </c>
      <c r="U41" s="207">
        <f t="shared" si="11"/>
        <v>15253</v>
      </c>
      <c r="V41" s="207">
        <f t="shared" si="10"/>
        <v>159911259</v>
      </c>
      <c r="W41" s="207">
        <f>SUM(W38:W40)</f>
        <v>0</v>
      </c>
      <c r="X41" s="207">
        <f>W41+V41</f>
        <v>159911259</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v>52565</v>
      </c>
      <c r="V42" s="207">
        <f t="shared" si="10"/>
        <v>52565</v>
      </c>
      <c r="W42" s="25"/>
      <c r="X42" s="207">
        <f t="shared" si="1"/>
        <v>52565</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v>15253</v>
      </c>
      <c r="U58" s="25">
        <v>-15253</v>
      </c>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159483800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427459</v>
      </c>
      <c r="U60" s="206">
        <f t="shared" si="12"/>
        <v>52565</v>
      </c>
      <c r="V60" s="206">
        <f t="shared" si="10"/>
        <v>159963824</v>
      </c>
      <c r="W60" s="206">
        <f>SUM(W41:W59)</f>
        <v>0</v>
      </c>
      <c r="X60" s="206">
        <f t="shared" si="1"/>
        <v>159963824</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2559</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2243</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52565</v>
      </c>
      <c r="V63" s="207">
        <f t="shared" si="16"/>
        <v>52565</v>
      </c>
      <c r="W63" s="207">
        <f t="shared" si="16"/>
        <v>0</v>
      </c>
      <c r="X63" s="207">
        <f t="shared" si="16"/>
        <v>52565</v>
      </c>
      <c r="AB63" s="139"/>
    </row>
    <row r="64" spans="1:28" ht="25.5" customHeight="1">
      <c r="A64" s="485" t="s">
        <v>2560</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15253</v>
      </c>
      <c r="U64" s="206">
        <f t="shared" si="18"/>
        <v>-15253</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2020-06-09T10:53:05Z</cp:lastPrinted>
  <dcterms:created xsi:type="dcterms:W3CDTF">2008-10-17T11:51:54Z</dcterms:created>
  <dcterms:modified xsi:type="dcterms:W3CDTF">2020-06-09T10:53:14Z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